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E:\Users\Oficina 2\Desktop\MIS DOCUMENTOS\EJERCICIO 2021\PAPEL DE TRABAJO\PREPARACION CUENTA PUBLICA 2021\1ER. TRIMESTRE 20 ABR 21\"/>
    </mc:Choice>
  </mc:AlternateContent>
  <xr:revisionPtr revIDLastSave="0" documentId="13_ncr:1_{651E7E13-E5C1-4295-8E48-341009384295}" xr6:coauthVersionLast="46" xr6:coauthVersionMax="46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120" yWindow="-120" windowWidth="29040" windowHeight="15840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7" i="5" l="1"/>
  <c r="C37" i="5"/>
  <c r="D37" i="5"/>
  <c r="E37" i="5"/>
  <c r="F37" i="5"/>
  <c r="K9" i="3"/>
  <c r="G138" i="6"/>
  <c r="G139" i="6"/>
  <c r="G140" i="6"/>
  <c r="G141" i="6"/>
  <c r="G142" i="6"/>
  <c r="G144" i="6"/>
  <c r="G145" i="6"/>
  <c r="G137" i="6"/>
  <c r="C137" i="6"/>
  <c r="D137" i="6"/>
  <c r="E137" i="6"/>
  <c r="F137" i="6"/>
  <c r="B137" i="6"/>
  <c r="C62" i="6"/>
  <c r="D62" i="6"/>
  <c r="E62" i="6"/>
  <c r="F62" i="6"/>
  <c r="G63" i="6"/>
  <c r="G64" i="6"/>
  <c r="G65" i="6"/>
  <c r="G66" i="6"/>
  <c r="G67" i="6"/>
  <c r="G69" i="6"/>
  <c r="G70" i="6"/>
  <c r="G62" i="6"/>
  <c r="B62" i="6"/>
  <c r="B8" i="10"/>
  <c r="C6" i="23"/>
  <c r="B9" i="1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G10" i="9"/>
  <c r="C7" i="23"/>
  <c r="A2" i="9"/>
  <c r="A2" i="6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3" i="8"/>
  <c r="G14" i="8"/>
  <c r="G15" i="8"/>
  <c r="G16" i="8"/>
  <c r="G17" i="8"/>
  <c r="G18" i="8"/>
  <c r="G10" i="8"/>
  <c r="G20" i="8"/>
  <c r="G21" i="8"/>
  <c r="G22" i="8"/>
  <c r="G23" i="8"/>
  <c r="G24" i="8"/>
  <c r="G25" i="8"/>
  <c r="G26" i="8"/>
  <c r="G19" i="8"/>
  <c r="G28" i="8"/>
  <c r="G29" i="8"/>
  <c r="G30" i="8"/>
  <c r="G31" i="8"/>
  <c r="G32" i="8"/>
  <c r="G33" i="8"/>
  <c r="G34" i="8"/>
  <c r="G35" i="8"/>
  <c r="G36" i="8"/>
  <c r="G27" i="8"/>
  <c r="G37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B18" i="6"/>
  <c r="B28" i="6"/>
  <c r="B38" i="6"/>
  <c r="B48" i="6"/>
  <c r="B58" i="6"/>
  <c r="B71" i="6"/>
  <c r="B75" i="6"/>
  <c r="B9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G20" i="6"/>
  <c r="G21" i="6"/>
  <c r="G22" i="6"/>
  <c r="G23" i="6"/>
  <c r="G24" i="6"/>
  <c r="G25" i="6"/>
  <c r="G26" i="6"/>
  <c r="G27" i="6"/>
  <c r="G19" i="6"/>
  <c r="G11" i="6"/>
  <c r="B7" i="13"/>
  <c r="G12" i="6"/>
  <c r="G18" i="6"/>
  <c r="G13" i="6"/>
  <c r="G14" i="6"/>
  <c r="G15" i="6"/>
  <c r="G16" i="6"/>
  <c r="G17" i="6"/>
  <c r="G10" i="6"/>
  <c r="G9" i="5"/>
  <c r="G10" i="5"/>
  <c r="G11" i="5"/>
  <c r="G12" i="5"/>
  <c r="G13" i="5"/>
  <c r="G14" i="5"/>
  <c r="G15" i="5"/>
  <c r="G17" i="5"/>
  <c r="G18" i="5"/>
  <c r="G19" i="5"/>
  <c r="G20" i="5"/>
  <c r="G21" i="5"/>
  <c r="G22" i="5"/>
  <c r="G23" i="5"/>
  <c r="G24" i="5"/>
  <c r="G25" i="5"/>
  <c r="G26" i="5"/>
  <c r="G27" i="5"/>
  <c r="G16" i="5"/>
  <c r="G29" i="5"/>
  <c r="G30" i="5"/>
  <c r="G31" i="5"/>
  <c r="G32" i="5"/>
  <c r="G33" i="5"/>
  <c r="G28" i="5"/>
  <c r="G34" i="5"/>
  <c r="G36" i="5"/>
  <c r="G35" i="5"/>
  <c r="G38" i="5"/>
  <c r="G39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9" i="7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C159" i="6"/>
  <c r="Q150" i="24"/>
  <c r="D10" i="6"/>
  <c r="D18" i="6"/>
  <c r="D28" i="6"/>
  <c r="D38" i="6"/>
  <c r="D48" i="6"/>
  <c r="D58" i="6"/>
  <c r="D71" i="6"/>
  <c r="D75" i="6"/>
  <c r="D9" i="6"/>
  <c r="D159" i="6"/>
  <c r="R150" i="24"/>
  <c r="E10" i="6"/>
  <c r="E18" i="6"/>
  <c r="E28" i="6"/>
  <c r="E38" i="6"/>
  <c r="E48" i="6"/>
  <c r="E58" i="6"/>
  <c r="E71" i="6"/>
  <c r="E75" i="6"/>
  <c r="E9" i="6"/>
  <c r="E159" i="6"/>
  <c r="S150" i="24"/>
  <c r="F10" i="6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6" i="5"/>
  <c r="G47" i="5"/>
  <c r="G48" i="5"/>
  <c r="G49" i="5"/>
  <c r="G50" i="5"/>
  <c r="G51" i="5"/>
  <c r="G52" i="5"/>
  <c r="G53" i="5"/>
  <c r="G45" i="5"/>
  <c r="U37" i="20"/>
  <c r="U38" i="20"/>
  <c r="U39" i="20"/>
  <c r="U40" i="20"/>
  <c r="U41" i="20"/>
  <c r="U42" i="20"/>
  <c r="U43" i="20"/>
  <c r="U44" i="20"/>
  <c r="U45" i="20"/>
  <c r="G55" i="5"/>
  <c r="G56" i="5"/>
  <c r="G57" i="5"/>
  <c r="G58" i="5"/>
  <c r="G54" i="5"/>
  <c r="U46" i="20"/>
  <c r="U47" i="20"/>
  <c r="U48" i="20"/>
  <c r="U49" i="20"/>
  <c r="U50" i="20"/>
  <c r="G60" i="5"/>
  <c r="G61" i="5"/>
  <c r="G59" i="5"/>
  <c r="U51" i="20"/>
  <c r="U52" i="20"/>
  <c r="U53" i="20"/>
  <c r="G62" i="5"/>
  <c r="U54" i="20"/>
  <c r="G63" i="5"/>
  <c r="U55" i="20"/>
  <c r="G65" i="5"/>
  <c r="U56" i="20"/>
  <c r="G68" i="5"/>
  <c r="G67" i="5"/>
  <c r="U57" i="20"/>
  <c r="U58" i="20"/>
  <c r="G73" i="5"/>
  <c r="U60" i="20"/>
  <c r="G74" i="5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/>
  <c r="E35" i="5"/>
  <c r="S29" i="20"/>
  <c r="F35" i="5"/>
  <c r="T29" i="20"/>
  <c r="Q30" i="20"/>
  <c r="R30" i="20"/>
  <c r="S30" i="20"/>
  <c r="T30" i="20"/>
  <c r="Q31" i="20"/>
  <c r="R31" i="20"/>
  <c r="S31" i="20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5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J14" i="3"/>
  <c r="X4" i="17"/>
  <c r="I14" i="3"/>
  <c r="I8" i="3"/>
  <c r="I20" i="3"/>
  <c r="W5" i="17"/>
  <c r="H14" i="3"/>
  <c r="G14" i="3"/>
  <c r="E14" i="3"/>
  <c r="K10" i="3"/>
  <c r="K11" i="3"/>
  <c r="K12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25" i="1"/>
  <c r="C31" i="1"/>
  <c r="C38" i="1"/>
  <c r="C41" i="1"/>
  <c r="C47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B47" i="1"/>
  <c r="R25" i="18"/>
  <c r="R38" i="18"/>
  <c r="C74" i="4"/>
  <c r="Q38" i="18"/>
  <c r="D74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<sst xmlns="http://schemas.openxmlformats.org/spreadsheetml/2006/main" count="4308" uniqueCount="3307">
  <si>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</si>
  <si>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</si>
  <si>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</si>
  <si>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</si>
  <si>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</si>
  <si>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</si>
  <si>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</si>
  <si>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</si>
  <si>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</si>
  <si>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</si>
  <si>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</si>
  <si>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</si>
  <si>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</si>
  <si>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</si>
  <si>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</si>
  <si>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</si>
  <si>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</si>
  <si>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</si>
  <si>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</si>
  <si>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</si>
  <si>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</si>
  <si>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</si>
  <si>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</si>
  <si>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</si>
  <si>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</si>
  <si>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</si>
  <si>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</si>
  <si>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</si>
  <si>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</si>
  <si>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</si>
  <si>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</si>
  <si>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</si>
  <si>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</si>
  <si>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</si>
  <si>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</si>
  <si>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</si>
  <si>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</si>
  <si>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</si>
  <si>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</si>
  <si>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</si>
  <si>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</si>
  <si>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</si>
  <si>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</si>
  <si>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</si>
  <si>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</si>
  <si>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</si>
  <si>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</si>
  <si>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</si>
  <si>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</si>
  <si>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</si>
  <si>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</si>
  <si>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</si>
  <si>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</si>
  <si>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</si>
  <si>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</si>
  <si>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</si>
  <si>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</si>
  <si>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</si>
  <si>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</si>
  <si>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</si>
  <si>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</si>
  <si>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</si>
  <si>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</si>
  <si>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</si>
  <si>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</si>
  <si>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</si>
  <si>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</si>
  <si>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</si>
  <si>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</si>
  <si>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</si>
  <si>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</si>
  <si>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</si>
  <si>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</si>
  <si>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</si>
  <si>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</si>
  <si>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</si>
  <si>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</si>
  <si>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</si>
  <si>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</si>
  <si>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</si>
  <si>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</si>
  <si>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</si>
  <si>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</si>
  <si>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</si>
  <si>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</si>
  <si>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</si>
  <si>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</si>
  <si>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</si>
  <si>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</si>
  <si>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</si>
  <si>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</si>
  <si>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</si>
  <si>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</si>
  <si>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</si>
  <si>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</si>
  <si>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</si>
  <si>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</si>
  <si>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</si>
  <si>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</si>
  <si>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</si>
  <si>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</si>
  <si>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</si>
  <si>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</si>
  <si>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</si>
  <si>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</si>
  <si>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</si>
  <si>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</si>
  <si>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</si>
  <si>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</si>
  <si>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</si>
  <si>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</si>
  <si>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</si>
  <si>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</si>
  <si>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</si>
  <si>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</si>
  <si>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</si>
  <si>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</si>
  <si>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</si>
  <si>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</si>
  <si>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</si>
  <si>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</si>
  <si>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</si>
  <si>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</si>
  <si>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</si>
  <si>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</si>
  <si>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</si>
  <si>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</si>
  <si>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</si>
  <si>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</si>
  <si>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</si>
  <si>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</si>
  <si>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</si>
  <si>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</si>
  <si>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</si>
  <si>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</si>
  <si>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</si>
  <si>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</si>
  <si>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</si>
  <si>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</si>
  <si>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</si>
  <si>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</si>
  <si>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</si>
  <si>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</si>
  <si>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</si>
  <si>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</si>
  <si>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</si>
  <si>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</si>
  <si>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</si>
  <si>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</si>
  <si>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</si>
  <si>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</si>
  <si>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</si>
  <si>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</si>
  <si>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</si>
  <si>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</si>
  <si>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</si>
  <si>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</si>
  <si>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</si>
  <si>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</si>
  <si>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</si>
  <si>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</si>
  <si>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</si>
  <si>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</si>
  <si>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</si>
  <si>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</si>
  <si>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</si>
  <si>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</si>
  <si>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</si>
  <si>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</si>
  <si>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</si>
  <si>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</si>
  <si>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</si>
  <si>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</si>
  <si>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</si>
  <si>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</si>
  <si>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</si>
  <si>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</si>
  <si>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</si>
  <si>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</si>
  <si>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</si>
  <si>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</si>
  <si>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</si>
  <si>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</si>
  <si>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</si>
  <si>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</si>
  <si>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</si>
  <si>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</si>
  <si>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</si>
  <si>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</si>
  <si>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</si>
  <si>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</si>
  <si>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</si>
  <si>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</si>
  <si>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</si>
  <si>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</si>
  <si>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</si>
  <si>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</si>
  <si>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</si>
  <si>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</si>
  <si>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</si>
  <si>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</si>
  <si>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</si>
  <si>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</si>
  <si>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</si>
  <si>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</si>
  <si>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</si>
  <si>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</si>
  <si>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</si>
  <si>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</si>
  <si>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</si>
  <si>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</si>
  <si>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</si>
  <si>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</si>
  <si>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</si>
  <si>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</si>
  <si>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</si>
  <si>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</si>
  <si>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</si>
  <si>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</si>
  <si>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</si>
  <si>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</si>
  <si>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</si>
  <si>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</si>
  <si>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</si>
  <si>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</si>
  <si>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</si>
  <si>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</si>
  <si>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</si>
  <si>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</si>
  <si>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</si>
  <si>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</si>
  <si>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</si>
  <si>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</si>
  <si>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</si>
  <si>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</si>
  <si>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</si>
  <si>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</si>
  <si>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</si>
  <si>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</si>
  <si>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</si>
  <si>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</si>
  <si>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</si>
  <si>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</si>
  <si>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</si>
  <si>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</si>
  <si>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</si>
  <si>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</si>
  <si>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</si>
  <si>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</si>
  <si>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</si>
  <si>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</si>
  <si>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</si>
  <si>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</si>
  <si>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</si>
  <si>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</si>
  <si>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</si>
  <si>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</si>
  <si>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</si>
  <si>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</si>
  <si>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</si>
  <si>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</si>
  <si>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</si>
  <si>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</si>
  <si>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</si>
  <si>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</si>
  <si>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</si>
  <si>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</si>
  <si>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</si>
  <si>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</si>
  <si>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</si>
  <si>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</si>
  <si>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</si>
  <si>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</si>
  <si>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</si>
  <si>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</si>
  <si>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</si>
  <si>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</si>
  <si>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</si>
  <si>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</si>
  <si>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</si>
  <si>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</si>
  <si>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</si>
  <si>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</si>
  <si>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</si>
  <si>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</si>
  <si>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</si>
  <si>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</si>
  <si>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</si>
  <si>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</si>
  <si>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</si>
  <si>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</si>
  <si>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</si>
  <si>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</si>
  <si>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</si>
  <si>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</si>
  <si>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</si>
  <si>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</si>
  <si>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</si>
  <si>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</si>
  <si>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</si>
  <si>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</si>
  <si>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</si>
  <si>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</si>
  <si>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</si>
  <si>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</si>
  <si>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</si>
  <si>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</si>
  <si>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</si>
  <si>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</si>
  <si>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</si>
  <si>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</si>
  <si>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</si>
  <si>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</si>
  <si>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</si>
  <si>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</si>
  <si>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</si>
  <si>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</si>
  <si>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</si>
  <si>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</si>
  <si>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</si>
  <si>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</si>
  <si>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</si>
  <si>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</si>
  <si>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</si>
  <si>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</si>
  <si>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</si>
  <si>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</si>
  <si>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</si>
  <si>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</si>
  <si>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</si>
  <si>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</si>
  <si>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</si>
  <si>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</si>
  <si>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</si>
  <si>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</si>
  <si>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</si>
  <si>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</si>
  <si>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</si>
  <si>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</si>
  <si>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</si>
  <si>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</si>
  <si>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</si>
  <si>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</si>
  <si>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</si>
  <si>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</si>
  <si>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</si>
  <si>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</si>
  <si>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</si>
  <si>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</si>
  <si>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</si>
  <si>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</si>
  <si>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</si>
  <si>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</si>
  <si>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</si>
  <si>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</si>
  <si>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</si>
  <si>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</si>
  <si>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</si>
  <si>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</si>
  <si>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</si>
  <si>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</si>
  <si>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</si>
  <si>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</si>
  <si>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</si>
  <si>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</si>
  <si>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</si>
  <si>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</si>
  <si>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</si>
  <si>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</si>
  <si>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</si>
  <si>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</si>
  <si>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</si>
  <si>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</si>
  <si>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</si>
  <si>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</si>
  <si>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</si>
  <si>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</si>
  <si>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</si>
  <si>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</si>
  <si>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</si>
  <si>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</si>
  <si>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</si>
  <si>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</si>
  <si>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</si>
  <si>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</si>
  <si>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</si>
  <si>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</si>
  <si>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</si>
  <si>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</si>
  <si>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</si>
  <si>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</si>
  <si>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</si>
  <si>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</si>
  <si>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</si>
  <si>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</si>
  <si>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</si>
  <si>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</si>
  <si>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</si>
  <si>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</si>
  <si>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</si>
  <si>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</si>
  <si>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</si>
  <si>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</si>
  <si>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</si>
  <si>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</si>
  <si>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</si>
  <si>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</si>
  <si>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</si>
  <si>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</si>
  <si>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</si>
  <si>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</si>
  <si>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</si>
  <si>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</si>
  <si>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</si>
  <si>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</si>
  <si>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</si>
  <si>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</si>
  <si>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</si>
  <si>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</si>
  <si>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</si>
  <si>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</si>
  <si>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</si>
  <si>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</si>
  <si>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</si>
  <si>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</si>
  <si>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</si>
  <si>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</si>
  <si>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</si>
  <si>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</si>
  <si>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</si>
  <si>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</si>
  <si>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</si>
  <si>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</si>
  <si>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</si>
  <si>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</si>
  <si>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</si>
  <si>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</si>
  <si>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</si>
  <si>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</si>
  <si>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</si>
  <si>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</si>
  <si>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</si>
  <si>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</si>
  <si>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</si>
  <si>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</si>
  <si>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</si>
  <si>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</si>
  <si>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</si>
  <si>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</si>
  <si>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</si>
  <si>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</si>
  <si>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</si>
  <si>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</si>
  <si>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</si>
  <si>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</si>
  <si>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</si>
  <si>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</si>
  <si>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</si>
  <si>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</si>
  <si>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</si>
  <si>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</si>
  <si>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</si>
  <si>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</si>
  <si>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</si>
  <si>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</si>
  <si>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</si>
  <si>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</si>
  <si>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</si>
  <si>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</si>
  <si>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</si>
  <si>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</si>
  <si>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</si>
  <si>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</si>
  <si>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</si>
  <si>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</si>
  <si>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</si>
  <si>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</si>
  <si>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</si>
  <si>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</si>
  <si>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</si>
  <si>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</si>
  <si>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</si>
  <si>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</si>
  <si>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</si>
  <si>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</si>
  <si>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</si>
  <si>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</si>
  <si>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</si>
  <si>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</si>
  <si>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</si>
  <si>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</si>
  <si>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</si>
  <si>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</si>
  <si>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</si>
  <si>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</si>
  <si>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</si>
  <si>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</si>
  <si>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</si>
  <si>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</si>
  <si>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</si>
  <si>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</si>
  <si>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</si>
  <si>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</si>
  <si>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</si>
  <si>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</si>
  <si>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</si>
  <si>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</si>
  <si>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</si>
  <si>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</si>
  <si>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</si>
  <si>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</si>
  <si>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</si>
  <si>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</si>
  <si>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</si>
  <si>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</si>
  <si>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</si>
  <si>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</si>
  <si>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</si>
  <si>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</si>
  <si>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</si>
  <si>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</si>
  <si>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</si>
  <si>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</si>
  <si>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</si>
  <si>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</si>
  <si>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</si>
  <si>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</si>
  <si>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</si>
  <si>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</si>
  <si>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</si>
  <si>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</si>
  <si>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</si>
  <si>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</si>
  <si>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</si>
  <si>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</si>
  <si>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</si>
  <si>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</si>
  <si>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</si>
  <si>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</si>
  <si>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</si>
  <si>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</si>
  <si>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</si>
  <si>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</si>
  <si>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</si>
  <si>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</si>
  <si>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</si>
  <si>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</si>
  <si>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</si>
  <si>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</si>
  <si>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</si>
  <si>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</si>
  <si>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</si>
  <si>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</si>
  <si>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</si>
  <si>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</si>
  <si>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</si>
  <si>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</si>
  <si>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</si>
  <si>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</si>
  <si>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</si>
  <si>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</si>
  <si>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</si>
  <si>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</si>
  <si>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</si>
  <si>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</si>
  <si>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</si>
  <si>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</si>
  <si>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</si>
  <si>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</si>
  <si>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</si>
  <si>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</si>
  <si>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</si>
  <si>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</si>
  <si>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</si>
  <si>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</si>
  <si>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</si>
  <si>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</si>
  <si>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</si>
  <si>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</si>
  <si>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</si>
  <si>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</si>
  <si>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</si>
  <si>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</si>
  <si>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</si>
  <si>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</si>
  <si>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</si>
  <si>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</si>
  <si>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</si>
  <si>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</si>
  <si>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</si>
  <si>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</si>
  <si>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</si>
  <si>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</si>
  <si>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</si>
  <si>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</si>
  <si>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</si>
  <si>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</si>
  <si>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</si>
  <si>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</si>
  <si>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</si>
  <si>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</si>
  <si>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</si>
  <si>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</si>
  <si>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</si>
  <si>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</si>
  <si>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</si>
  <si>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</si>
  <si>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</si>
  <si>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</si>
  <si>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</si>
  <si>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</si>
  <si>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</si>
  <si>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</si>
  <si>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</si>
  <si>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</si>
  <si>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</si>
  <si>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</si>
  <si>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</si>
  <si>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</si>
  <si>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</si>
  <si>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</si>
  <si>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</si>
  <si>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</si>
  <si>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</si>
  <si>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</si>
  <si>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</si>
  <si>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</si>
  <si>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</si>
  <si>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</si>
  <si>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</si>
  <si>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</si>
  <si>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</si>
  <si>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</si>
  <si>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</si>
  <si>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</si>
  <si>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</si>
  <si>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</si>
  <si>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</si>
  <si>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</si>
  <si>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</si>
  <si>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</si>
  <si>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</si>
  <si>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</si>
  <si>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</si>
  <si>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</si>
  <si>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</si>
  <si>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</si>
  <si>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</si>
  <si>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</si>
  <si>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</si>
  <si>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</si>
  <si>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</si>
  <si>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</si>
  <si>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</si>
  <si>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</si>
  <si>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</si>
  <si>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</si>
  <si>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</si>
  <si>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</si>
  <si>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</si>
  <si>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</si>
  <si>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</si>
  <si>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</si>
  <si>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</si>
  <si>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</si>
  <si>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</si>
  <si>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</si>
  <si>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</si>
  <si>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</si>
  <si>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</si>
  <si>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</si>
  <si>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</si>
  <si>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</si>
  <si>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</si>
  <si>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</si>
  <si>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</si>
  <si>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</si>
  <si>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</si>
  <si>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</si>
  <si>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</si>
  <si>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</si>
  <si>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</si>
  <si>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</si>
  <si>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</si>
  <si>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</si>
  <si>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</si>
  <si>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</si>
  <si>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</si>
  <si>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</si>
  <si>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</si>
  <si>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</si>
  <si>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</si>
  <si>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</si>
  <si>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</si>
  <si>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</si>
  <si>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</si>
  <si>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</si>
  <si>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</si>
  <si>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</si>
  <si>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</si>
  <si>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</si>
  <si>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</si>
  <si>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</si>
  <si>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</si>
  <si>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</si>
  <si>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</si>
  <si>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</si>
  <si>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</si>
  <si>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</si>
  <si>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</si>
  <si>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</si>
  <si>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</si>
  <si>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</si>
  <si>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</si>
  <si>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</si>
  <si>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</si>
  <si>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</si>
  <si>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</si>
  <si>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</si>
  <si>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</si>
  <si>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</si>
  <si>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</si>
  <si>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</si>
  <si>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</si>
  <si>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</si>
  <si>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</si>
  <si>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</si>
  <si>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</si>
  <si>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</si>
  <si>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</si>
  <si>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</si>
  <si>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</si>
  <si>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</si>
  <si>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</si>
  <si>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</si>
  <si>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</si>
  <si>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</si>
  <si>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</si>
  <si>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</si>
  <si>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</si>
  <si>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</si>
  <si>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</si>
  <si>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</si>
  <si>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</si>
  <si>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</si>
  <si>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</si>
  <si>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</si>
  <si>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</si>
  <si>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</si>
  <si>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</si>
  <si>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</si>
  <si>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</si>
  <si>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</si>
  <si>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</si>
  <si>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</si>
  <si>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</si>
  <si>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</si>
  <si>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</si>
  <si>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</si>
  <si>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</si>
  <si>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</si>
  <si>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</si>
  <si>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</si>
  <si>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</si>
  <si>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</si>
  <si>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</si>
  <si>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</si>
  <si>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</si>
  <si>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</si>
  <si>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</si>
  <si>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</si>
  <si>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</si>
  <si>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</si>
  <si>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</si>
  <si>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</si>
  <si>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</si>
  <si>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</si>
  <si>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</si>
  <si>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</si>
  <si>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</si>
  <si>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</si>
  <si>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</si>
  <si>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</si>
  <si>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</si>
  <si>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</si>
  <si>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</si>
  <si>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</si>
  <si>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</si>
  <si>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</si>
  <si>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</si>
  <si>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</si>
  <si>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</si>
  <si>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</si>
  <si>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</si>
  <si>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</si>
  <si>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</si>
  <si>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</si>
  <si>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</si>
  <si>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</si>
  <si>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</si>
  <si>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</si>
  <si>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</si>
  <si>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</si>
  <si>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</si>
  <si>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</si>
  <si>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</si>
  <si>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</si>
  <si>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</si>
  <si>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</si>
  <si>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</si>
  <si>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</si>
  <si>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</si>
  <si>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</si>
  <si>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</si>
  <si>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</si>
  <si>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</si>
  <si>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</si>
  <si>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</si>
  <si>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</si>
  <si>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</si>
  <si>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</si>
  <si>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</si>
  <si>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</si>
  <si>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</si>
  <si>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</si>
  <si>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</si>
  <si>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</si>
  <si>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</si>
  <si>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</si>
  <si>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</si>
  <si>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</si>
  <si>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</si>
  <si>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</si>
  <si>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</si>
  <si>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</si>
  <si>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</si>
  <si>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</si>
  <si>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</si>
  <si>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</si>
  <si>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</si>
  <si>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</si>
  <si>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</si>
  <si>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</si>
  <si>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</si>
  <si>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</si>
  <si>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</si>
  <si>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</si>
  <si>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</si>
  <si>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</si>
  <si>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</si>
  <si>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</si>
  <si>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</si>
  <si>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</si>
  <si>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</si>
  <si>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</si>
  <si>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</si>
  <si>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</si>
  <si>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</si>
  <si>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</si>
  <si>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</si>
  <si>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</si>
  <si>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</si>
  <si>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</si>
  <si>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</si>
  <si>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</si>
  <si>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</si>
  <si>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</si>
  <si>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</si>
  <si>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</si>
  <si>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</si>
  <si>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</si>
  <si>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</si>
  <si>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</si>
  <si>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</si>
  <si>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</si>
  <si>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</si>
  <si>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</si>
  <si>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</si>
  <si>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</si>
  <si>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</si>
  <si>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</si>
  <si>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</si>
  <si>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</si>
  <si>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</si>
  <si>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</si>
  <si>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</si>
  <si>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</si>
  <si>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</si>
  <si>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</si>
  <si>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</si>
  <si>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</si>
  <si>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</si>
  <si>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</si>
  <si>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</si>
  <si>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</si>
  <si>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</si>
  <si>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</si>
  <si>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</si>
  <si>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</si>
  <si>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</si>
  <si>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</si>
  <si>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</si>
  <si>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</si>
  <si>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</si>
  <si>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</si>
  <si>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</si>
  <si>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</si>
  <si>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</si>
  <si>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</si>
  <si>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</si>
  <si>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</si>
  <si>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</si>
  <si>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</si>
  <si>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</si>
  <si>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</si>
  <si>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</si>
  <si>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</si>
  <si>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</si>
  <si>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</si>
  <si>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</si>
  <si>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</si>
  <si>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</si>
  <si>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</si>
  <si>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</si>
  <si>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</si>
  <si>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</si>
  <si>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</si>
  <si>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</si>
  <si>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</si>
  <si>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</si>
  <si>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</si>
  <si>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</si>
  <si>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</si>
  <si>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</si>
  <si>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</si>
  <si>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</si>
  <si>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</si>
  <si>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</si>
  <si>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</si>
  <si>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</si>
  <si>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</si>
  <si>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</si>
  <si>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</si>
  <si>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</si>
  <si>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</si>
  <si>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</si>
  <si>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</si>
  <si>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</si>
  <si>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</si>
  <si>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</si>
  <si>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</si>
  <si>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</si>
  <si>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</si>
  <si>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</si>
  <si>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</si>
  <si>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</si>
  <si>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</si>
  <si>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</si>
  <si>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</si>
  <si>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</si>
  <si>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</si>
  <si>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</si>
  <si>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</si>
  <si>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</si>
  <si>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</si>
  <si>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</si>
  <si>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</si>
  <si>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</si>
  <si>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</si>
  <si>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</si>
  <si>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</si>
  <si>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</si>
  <si>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</si>
  <si>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</si>
  <si>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</si>
  <si>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</si>
  <si>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</si>
  <si>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</si>
  <si>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</si>
  <si>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</si>
  <si>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</si>
  <si>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</si>
  <si>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</si>
  <si>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</si>
  <si>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</si>
  <si>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</si>
  <si>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</si>
  <si>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</si>
  <si>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</si>
  <si>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</si>
  <si>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</si>
  <si>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</si>
  <si>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</si>
  <si>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</si>
  <si>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</si>
  <si>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</si>
  <si>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</si>
  <si>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</si>
  <si>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</si>
  <si>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</si>
  <si>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</si>
  <si>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</si>
  <si>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</si>
  <si>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</si>
  <si>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</si>
  <si>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</si>
  <si>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</si>
  <si>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</si>
  <si>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</si>
  <si>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</si>
  <si>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</si>
  <si>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</si>
  <si>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</si>
  <si>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</si>
  <si>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</si>
  <si>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</si>
  <si>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</si>
  <si>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</si>
  <si>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</si>
  <si>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</si>
  <si>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</si>
  <si>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</si>
  <si>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</si>
  <si>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</si>
  <si>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</si>
  <si>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</si>
  <si>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</si>
  <si>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</si>
  <si>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</si>
  <si>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</si>
  <si>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</si>
  <si>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</si>
  <si>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</si>
  <si>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</si>
  <si>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</si>
  <si>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</si>
  <si>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</si>
  <si>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</si>
  <si>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</si>
  <si>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</si>
  <si>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</si>
  <si>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</si>
  <si>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</si>
  <si>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</si>
  <si>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</si>
  <si>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</si>
  <si>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</si>
  <si>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</si>
  <si>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</si>
  <si>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</si>
  <si>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</si>
  <si>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</si>
  <si>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</si>
  <si>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</si>
  <si>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</si>
  <si>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</si>
  <si>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</si>
  <si>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</si>
  <si>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</si>
  <si>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</si>
  <si>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</si>
  <si>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</si>
  <si>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</si>
  <si>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</si>
  <si>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</si>
  <si>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</si>
  <si>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</si>
  <si>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</si>
  <si>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</si>
  <si>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</si>
  <si>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</si>
  <si>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</si>
  <si>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</si>
  <si>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</si>
  <si>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</si>
  <si>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</si>
  <si>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</si>
  <si>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</si>
  <si>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</si>
  <si>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</si>
  <si>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</si>
  <si>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</si>
  <si>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</si>
  <si>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</si>
  <si>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</si>
  <si>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</si>
  <si>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</si>
  <si>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</si>
  <si>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</si>
  <si>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</si>
  <si>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</si>
  <si>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</si>
  <si>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</si>
  <si>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</si>
  <si>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</si>
  <si>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</si>
  <si>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</si>
  <si>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</si>
  <si>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</si>
  <si>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</si>
  <si>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</si>
  <si>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</si>
  <si>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</si>
  <si>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</si>
  <si>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</si>
  <si>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</si>
  <si>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</si>
  <si>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</si>
  <si>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</si>
  <si>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</si>
  <si>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</si>
  <si>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</si>
  <si>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</si>
  <si>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</si>
  <si>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</si>
  <si>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</si>
  <si>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</si>
  <si>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</si>
  <si>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</si>
  <si>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</si>
  <si>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</si>
  <si>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</si>
  <si>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</si>
  <si>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</si>
  <si>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</si>
  <si>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</si>
  <si>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</si>
  <si>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</si>
  <si>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</si>
  <si>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</si>
  <si>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</si>
  <si>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</si>
  <si>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</si>
  <si>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</si>
  <si>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</si>
  <si>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</si>
  <si>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</si>
  <si>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</si>
  <si>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</si>
  <si>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</si>
  <si>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</si>
  <si>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</si>
  <si>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</si>
  <si>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</si>
  <si>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</si>
  <si>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</si>
  <si>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</si>
  <si>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</si>
  <si>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</si>
  <si>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</si>
  <si>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</si>
  <si>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</si>
  <si>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</si>
  <si>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</si>
  <si>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</si>
  <si>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</si>
  <si>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</si>
  <si>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</si>
  <si>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</si>
  <si>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</si>
  <si>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</si>
  <si>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</si>
  <si>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</si>
  <si>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</si>
  <si>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</si>
  <si>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</si>
  <si>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</si>
  <si>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</si>
  <si>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</si>
  <si>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</si>
  <si>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</si>
  <si>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</si>
  <si>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</si>
  <si>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</si>
  <si>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</si>
  <si>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</si>
  <si>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</si>
  <si>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</si>
  <si>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</si>
  <si>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</si>
  <si>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</si>
  <si>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</si>
  <si>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</si>
  <si>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</si>
  <si>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</si>
  <si>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</si>
  <si>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</si>
  <si>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</si>
  <si>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</si>
  <si>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</si>
  <si>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</si>
  <si>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</si>
  <si>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</si>
  <si>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</si>
  <si>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</si>
  <si>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</si>
  <si>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</si>
  <si>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</si>
  <si>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</si>
  <si>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</si>
  <si>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</si>
  <si>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</si>
  <si>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</si>
  <si>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</si>
  <si>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</si>
  <si>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</si>
  <si>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</si>
  <si>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</si>
  <si>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</si>
  <si>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</si>
  <si>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</si>
  <si>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</si>
  <si>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</si>
  <si>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</si>
  <si>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</si>
  <si>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</si>
  <si>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</si>
  <si>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</si>
  <si>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</si>
  <si>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</si>
  <si>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</si>
  <si>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</si>
  <si>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</si>
  <si>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</si>
  <si>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</si>
  <si>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</si>
  <si>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</si>
  <si>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</si>
  <si>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</si>
  <si>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</si>
  <si>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</si>
  <si>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</si>
  <si>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</si>
  <si>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</si>
  <si>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</si>
  <si>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</si>
  <si>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</si>
  <si>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</si>
  <si>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</si>
  <si>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</si>
  <si>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</si>
  <si>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</si>
  <si>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</si>
  <si>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</si>
  <si>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</si>
  <si>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</si>
  <si>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</si>
  <si>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</si>
  <si>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</si>
  <si>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</si>
  <si>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</si>
  <si>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</si>
  <si>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</si>
  <si>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</si>
  <si>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</si>
  <si>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</si>
  <si>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</si>
  <si>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</si>
  <si>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</si>
  <si>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</si>
  <si>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</si>
  <si>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</si>
  <si>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</si>
  <si>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</si>
  <si>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</si>
  <si>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</si>
  <si>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</si>
  <si>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</si>
  <si>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</si>
  <si>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</si>
  <si>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</si>
  <si>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</si>
  <si>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</si>
  <si>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</si>
  <si>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</si>
  <si>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</si>
  <si>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</si>
  <si>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</si>
  <si>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</si>
  <si>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</si>
  <si>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</si>
  <si>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</si>
  <si>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</si>
  <si>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</si>
  <si>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</si>
  <si>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</si>
  <si>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</si>
  <si>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</si>
  <si>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</si>
  <si>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</si>
  <si>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</si>
  <si>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</si>
  <si>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</si>
  <si>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</si>
  <si>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</si>
  <si>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</si>
  <si>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</si>
  <si>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</si>
  <si>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</si>
  <si>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</si>
  <si>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</si>
  <si>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</si>
  <si>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</si>
  <si>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</si>
  <si>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</si>
  <si>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</si>
  <si>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</si>
  <si>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</si>
  <si>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</si>
  <si>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</si>
  <si>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</si>
  <si>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</si>
  <si>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</si>
  <si>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</si>
  <si>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</si>
  <si>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</si>
  <si>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</si>
  <si>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</si>
  <si>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</si>
  <si>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</si>
  <si>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</si>
  <si>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</si>
  <si>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</si>
  <si>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</si>
  <si>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</si>
  <si>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</si>
  <si>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</si>
  <si>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</si>
  <si>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</si>
  <si>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</si>
  <si>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</si>
  <si>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</si>
  <si>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</si>
  <si>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</si>
  <si>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</si>
  <si>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</si>
  <si>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</si>
  <si>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</si>
  <si>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</si>
  <si>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</si>
  <si>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</si>
  <si>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</si>
  <si>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</si>
  <si>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</si>
  <si>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</si>
  <si>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</si>
  <si>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</si>
  <si>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</si>
  <si>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</si>
  <si>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</si>
  <si>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</si>
  <si>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</si>
  <si>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</si>
  <si>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</si>
  <si>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</si>
  <si>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</si>
  <si>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</si>
  <si>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</si>
  <si>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</si>
  <si>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</si>
  <si>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</si>
  <si>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</si>
  <si>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</si>
  <si>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</si>
  <si>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</si>
  <si>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</si>
  <si>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</si>
  <si>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</si>
  <si>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</si>
  <si>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</si>
  <si>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</si>
  <si>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</si>
  <si>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</si>
  <si>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</si>
  <si>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</si>
  <si>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</si>
  <si>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</si>
  <si>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</si>
  <si>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</si>
  <si>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</si>
  <si>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</si>
  <si>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</si>
  <si>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</si>
  <si>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</si>
  <si>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</si>
  <si>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</si>
  <si>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</si>
  <si>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</si>
  <si>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</si>
  <si>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</si>
  <si>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</si>
  <si>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</si>
  <si>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</si>
  <si>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</si>
  <si>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</si>
  <si>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</si>
  <si>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</si>
  <si>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</si>
  <si>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</si>
  <si>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</si>
  <si>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</si>
  <si>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</si>
  <si>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</si>
  <si>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</si>
  <si>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</si>
  <si>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</si>
  <si>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</si>
  <si>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</si>
  <si>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</si>
  <si>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</si>
  <si>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</si>
  <si>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</si>
  <si>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</si>
  <si>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</si>
  <si>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</si>
  <si>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</si>
  <si>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</si>
  <si>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</si>
  <si>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</si>
  <si>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</si>
  <si>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</si>
  <si>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</si>
  <si>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</si>
  <si>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</si>
  <si>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</si>
  <si>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</si>
  <si>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</si>
  <si>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</si>
  <si>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</si>
  <si>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</si>
  <si>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</si>
  <si>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</si>
  <si>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</si>
  <si>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</si>
  <si>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</si>
  <si>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</si>
  <si>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</si>
  <si>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</si>
  <si>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</si>
  <si>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</si>
  <si>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</si>
  <si>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</si>
  <si>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</si>
  <si>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</si>
  <si>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</si>
  <si>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</si>
  <si>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</si>
  <si>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</si>
  <si>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</si>
  <si>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</si>
  <si>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</si>
  <si>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</si>
  <si>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</si>
  <si>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</si>
  <si>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</si>
  <si>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</si>
  <si>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</si>
  <si>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</si>
  <si>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</si>
  <si>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</si>
  <si>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</si>
  <si>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</si>
  <si>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</si>
  <si>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</si>
  <si>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</si>
  <si>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</si>
  <si>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</si>
  <si>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</si>
  <si>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</si>
  <si>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</si>
  <si>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</si>
  <si>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</si>
  <si>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</si>
  <si>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</si>
  <si>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</si>
  <si>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</si>
  <si>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</si>
  <si>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</si>
  <si>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</si>
  <si>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</si>
  <si>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</si>
  <si>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</si>
  <si>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</si>
  <si>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</si>
  <si>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</si>
  <si>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</si>
  <si>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</si>
  <si>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</si>
  <si>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</si>
  <si>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</si>
  <si>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</si>
  <si>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</si>
  <si>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</si>
  <si>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</si>
  <si>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</si>
  <si>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</si>
  <si>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</si>
  <si>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</si>
  <si>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</si>
  <si>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</si>
  <si>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</si>
  <si>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</si>
  <si>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</si>
  <si>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</si>
  <si>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</si>
  <si>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</si>
  <si>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</si>
  <si>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</si>
  <si>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</si>
  <si>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</si>
  <si>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</si>
  <si>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</si>
  <si>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</si>
  <si>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</si>
  <si>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</si>
  <si>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</si>
  <si>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</si>
  <si>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</si>
  <si>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</si>
  <si>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</si>
  <si>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</si>
  <si>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</si>
  <si>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</si>
  <si>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</si>
  <si>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</si>
  <si>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</si>
  <si>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</si>
  <si>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</si>
  <si>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</si>
  <si>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</si>
  <si>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</si>
  <si>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</si>
  <si>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</si>
  <si>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</si>
  <si>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</si>
  <si>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</si>
  <si>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</si>
  <si>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</si>
  <si>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</si>
  <si>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</si>
  <si>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</si>
  <si>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</si>
  <si>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</si>
  <si>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</si>
  <si>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</si>
  <si>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</si>
  <si>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</si>
  <si>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</si>
  <si>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</si>
  <si>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</si>
  <si>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</si>
  <si>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</si>
  <si>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</si>
  <si>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</si>
  <si>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</si>
  <si>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</si>
  <si>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</si>
  <si>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</si>
  <si>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</si>
  <si>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</si>
  <si>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</si>
  <si>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</si>
  <si>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</si>
  <si>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</si>
  <si>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</si>
  <si>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</si>
  <si>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</si>
  <si>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</si>
  <si>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</si>
  <si>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</si>
  <si>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</si>
  <si>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</si>
  <si>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</si>
  <si>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</si>
  <si>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</si>
  <si>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</si>
  <si>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</si>
  <si>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</si>
  <si>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</si>
  <si>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</si>
  <si>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</si>
  <si>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</si>
  <si>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</si>
  <si>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</si>
  <si>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</si>
  <si>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</si>
  <si>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</si>
  <si>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</si>
  <si>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</si>
  <si>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</si>
  <si>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</si>
  <si>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</si>
  <si>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</si>
  <si>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</si>
  <si>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</si>
  <si>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</si>
  <si>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</si>
  <si>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</si>
  <si>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</si>
  <si>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</si>
  <si>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</si>
  <si>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</si>
  <si>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</si>
  <si>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</si>
  <si>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</si>
  <si>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</si>
  <si>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</si>
  <si>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</si>
  <si>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</si>
  <si>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</si>
  <si>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</si>
  <si>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</si>
  <si>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</si>
  <si>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</si>
  <si>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</si>
  <si>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</si>
  <si>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</si>
  <si>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</si>
  <si>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</si>
  <si>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</si>
  <si>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</si>
  <si>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</si>
  <si>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</si>
  <si>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</si>
  <si>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</si>
  <si>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</si>
  <si>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</si>
  <si>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</si>
  <si>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</si>
  <si>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</si>
  <si>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</si>
  <si>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</si>
  <si>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</si>
  <si>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</si>
  <si>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</si>
  <si>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</si>
  <si>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</si>
  <si>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</si>
  <si>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</si>
  <si>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</si>
  <si>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</si>
  <si>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</si>
  <si>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</si>
  <si>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</si>
  <si>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</si>
  <si>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</si>
  <si>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</si>
  <si>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</si>
  <si>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</si>
  <si>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</si>
  <si>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</si>
  <si>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</si>
  <si>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</si>
  <si>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</si>
  <si>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</si>
  <si>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</si>
  <si>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</si>
  <si>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</si>
  <si>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</si>
  <si>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</si>
  <si>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</si>
  <si>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</si>
  <si>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</si>
  <si>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</si>
  <si>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</si>
  <si>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</si>
  <si>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</si>
  <si>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</si>
  <si>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</si>
  <si>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</si>
  <si>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</si>
  <si>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</si>
  <si>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</si>
  <si>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</si>
  <si>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</si>
  <si>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</si>
  <si>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</si>
  <si>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</si>
  <si>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</si>
  <si>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</si>
  <si>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</si>
  <si>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</si>
  <si>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</si>
  <si>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</si>
  <si>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</si>
  <si>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</si>
  <si>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</si>
  <si>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</si>
  <si>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</si>
  <si>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</si>
  <si>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</si>
  <si>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</si>
  <si>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</si>
  <si>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</si>
  <si>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</si>
  <si>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</si>
  <si>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</si>
  <si>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</si>
  <si>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</si>
  <si>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</si>
  <si>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</si>
  <si>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</si>
  <si>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</si>
  <si>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</si>
  <si>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</si>
  <si>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</si>
  <si>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</si>
  <si>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</si>
  <si>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</si>
  <si>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</si>
  <si>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</si>
  <si>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</si>
  <si>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</si>
  <si>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</si>
  <si>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</si>
  <si>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</si>
  <si>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</si>
  <si>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</si>
  <si>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</si>
  <si>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</si>
  <si>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</si>
  <si>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</si>
  <si>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</si>
  <si>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</si>
  <si>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</si>
  <si>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</si>
  <si>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</si>
  <si>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</si>
  <si>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</si>
  <si>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</si>
  <si>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</si>
  <si>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</si>
  <si>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</si>
  <si>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</si>
  <si>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</si>
  <si>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</si>
  <si>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</si>
  <si>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</si>
  <si>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</si>
  <si>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</si>
  <si>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</si>
  <si>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</si>
  <si>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</si>
  <si>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</si>
  <si>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</si>
  <si>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</si>
  <si>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</si>
  <si>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</si>
  <si>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</si>
  <si>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</si>
  <si>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</si>
  <si>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</si>
  <si>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</si>
  <si>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</si>
  <si>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</si>
  <si>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</si>
  <si>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</si>
  <si>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</si>
  <si>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</si>
  <si>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</si>
  <si>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</si>
  <si>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</si>
  <si>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</si>
  <si>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</si>
  <si>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</si>
  <si>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</si>
  <si>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</si>
  <si>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</si>
  <si>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</si>
  <si>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</si>
  <si>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</si>
  <si>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</si>
  <si>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</si>
  <si>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</si>
  <si>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</si>
  <si>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</si>
  <si>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</si>
  <si>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</si>
  <si>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</si>
  <si>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</si>
  <si>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</si>
  <si>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</si>
  <si>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</si>
  <si>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</si>
  <si>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</si>
  <si>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</si>
  <si>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</si>
  <si>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</si>
  <si>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</si>
  <si>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</si>
  <si>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</si>
  <si>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</si>
  <si>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</si>
  <si>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</si>
  <si>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</si>
  <si>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</si>
  <si>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</si>
  <si>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</si>
  <si>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</si>
  <si>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</si>
  <si>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</si>
  <si>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</si>
  <si>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</si>
  <si>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</si>
  <si>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</si>
  <si>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</si>
  <si>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</si>
  <si>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</si>
  <si>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</si>
  <si>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</si>
  <si>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</si>
  <si>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</si>
  <si>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</si>
  <si>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</si>
  <si>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</si>
  <si>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</si>
  <si>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</si>
  <si>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</si>
  <si>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</si>
  <si>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</si>
  <si>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</si>
  <si>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</si>
  <si>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</si>
  <si>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</si>
  <si>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</si>
  <si>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</si>
  <si>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</si>
  <si>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</si>
  <si>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</si>
  <si>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</si>
  <si>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</si>
  <si>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</si>
  <si>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</si>
  <si>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</si>
  <si>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</si>
  <si>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</si>
  <si>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</si>
  <si>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</si>
  <si>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</si>
  <si>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</si>
  <si>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</si>
  <si>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</si>
  <si>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</si>
  <si>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</si>
  <si>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</si>
  <si>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</si>
  <si>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</si>
  <si>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</si>
  <si>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</si>
  <si>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</si>
  <si>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</si>
  <si>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</si>
  <si>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</si>
  <si>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</si>
  <si>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</si>
  <si>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</si>
  <si>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</si>
  <si>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</si>
  <si>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</si>
  <si>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</si>
  <si>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</si>
  <si>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</si>
  <si>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</si>
  <si>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</si>
  <si>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</si>
  <si>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</si>
  <si>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</si>
  <si>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</si>
  <si>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</si>
  <si>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</si>
  <si>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</si>
  <si>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</si>
  <si>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</si>
  <si>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</si>
  <si>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</si>
  <si>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</si>
  <si>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</si>
  <si>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</si>
  <si>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</si>
  <si>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</si>
  <si>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</si>
  <si>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</si>
  <si>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</si>
  <si>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</si>
  <si>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</si>
  <si>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</si>
  <si>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</si>
  <si>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</si>
  <si>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</si>
  <si>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</si>
  <si>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</si>
  <si>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</si>
  <si>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</si>
  <si>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</si>
  <si>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</si>
  <si>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</si>
  <si>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</si>
  <si>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</si>
  <si>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</si>
  <si>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</si>
  <si>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</si>
  <si>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</si>
  <si>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</si>
  <si>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</si>
  <si>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</si>
  <si>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</si>
  <si>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</si>
  <si>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</si>
  <si>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</si>
  <si>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</si>
  <si>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</si>
  <si>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</si>
  <si>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</si>
  <si>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</si>
  <si>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</si>
  <si>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</si>
  <si>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</si>
  <si>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</si>
  <si>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</si>
  <si>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</si>
  <si>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</si>
  <si>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</si>
  <si>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</si>
  <si>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</si>
  <si>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</si>
  <si>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</si>
  <si>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</si>
  <si>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</si>
  <si>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</si>
  <si>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</si>
  <si>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</si>
  <si>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</si>
  <si>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</si>
  <si>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</si>
  <si>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</si>
  <si>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</si>
  <si>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</si>
  <si>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</si>
  <si>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</si>
  <si>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</si>
  <si>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</si>
  <si>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</si>
  <si>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</si>
  <si>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</si>
  <si>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</si>
  <si>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</si>
  <si>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</si>
  <si>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</si>
  <si>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</si>
  <si>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</si>
  <si>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</si>
  <si>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</si>
  <si>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</si>
  <si>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</si>
  <si>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</si>
  <si>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</si>
  <si>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</si>
  <si>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</si>
  <si>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</si>
  <si>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</si>
  <si>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</si>
  <si>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</si>
  <si>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</si>
  <si>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</si>
  <si>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</si>
  <si>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</si>
  <si>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</si>
  <si>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</si>
  <si>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</si>
  <si>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</si>
  <si>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</si>
  <si>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</si>
  <si>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</si>
  <si>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</si>
  <si>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</si>
  <si>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</si>
  <si>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</si>
  <si>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</si>
  <si>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</si>
  <si>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</si>
  <si>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</si>
  <si>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</si>
  <si>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</si>
  <si>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</si>
  <si>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</si>
  <si>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</si>
  <si>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</si>
  <si>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</si>
  <si>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</si>
  <si>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</si>
  <si>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</si>
  <si>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</si>
  <si>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</si>
  <si>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</si>
  <si>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</si>
  <si>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</si>
  <si>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</si>
  <si>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</si>
  <si>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</si>
  <si>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</si>
  <si>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</si>
  <si>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</si>
  <si>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</si>
  <si>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</si>
  <si>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</si>
  <si>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</si>
  <si>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</si>
  <si>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</si>
  <si>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</si>
  <si>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</si>
  <si>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</si>
  <si>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</si>
  <si>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</si>
  <si>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</si>
  <si>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</si>
  <si>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</si>
  <si>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</si>
  <si>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</si>
  <si>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</si>
  <si>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</si>
  <si>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</si>
  <si>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</si>
  <si>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</si>
  <si>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</si>
  <si>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</si>
  <si>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</si>
  <si>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</si>
  <si>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</si>
  <si>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</si>
  <si>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</si>
  <si>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</si>
  <si>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</si>
  <si>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</si>
  <si>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</si>
  <si>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</si>
  <si>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</si>
  <si>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</si>
  <si>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</si>
  <si>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</si>
  <si>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</si>
  <si>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</si>
  <si>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</si>
  <si>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</si>
  <si>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</si>
  <si>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</si>
  <si>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</si>
  <si>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</si>
  <si>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</si>
  <si>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</si>
  <si>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</si>
  <si>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</si>
  <si>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</si>
  <si>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</si>
  <si>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</si>
  <si>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</si>
  <si>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</si>
  <si>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</si>
  <si>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</si>
  <si>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</si>
  <si>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</si>
  <si>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</si>
  <si>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</si>
  <si>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</si>
  <si>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</si>
  <si>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</si>
  <si>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</si>
  <si>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</si>
  <si>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</si>
  <si>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</si>
  <si>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</si>
  <si>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</si>
  <si>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</si>
  <si>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</si>
  <si>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</si>
  <si>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</si>
  <si>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</si>
  <si>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</si>
  <si>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</si>
  <si>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</si>
  <si>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</si>
  <si>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</si>
  <si>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</si>
  <si>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</si>
  <si>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</si>
  <si>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</si>
  <si>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</si>
  <si>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</si>
  <si>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</si>
  <si>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</si>
  <si>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</si>
  <si>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</si>
  <si>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</si>
  <si>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</si>
  <si>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</si>
  <si>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</si>
  <si>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</si>
  <si>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</si>
  <si>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</si>
  <si>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</si>
  <si>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</si>
  <si>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</si>
  <si>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</si>
  <si>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</si>
  <si>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</si>
  <si>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</si>
  <si>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</si>
  <si>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</si>
  <si>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</si>
  <si>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</si>
  <si>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</si>
  <si>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</si>
  <si>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</si>
  <si>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</si>
  <si>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</si>
  <si>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</si>
  <si>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</si>
  <si>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</si>
  <si>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</si>
  <si>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</si>
  <si>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</si>
  <si>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</si>
  <si>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</si>
  <si>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</si>
  <si>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</si>
  <si>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</si>
  <si>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</si>
  <si>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</si>
  <si>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</si>
  <si>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</si>
  <si>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</si>
  <si>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</si>
  <si>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</si>
  <si>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</si>
  <si>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</si>
  <si>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</si>
  <si>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</si>
  <si>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</si>
  <si>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</si>
  <si>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</si>
  <si>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</si>
  <si>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</si>
  <si>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</si>
  <si>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</si>
  <si>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</si>
  <si>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</si>
  <si>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</si>
  <si>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</si>
  <si>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</si>
  <si>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</si>
  <si>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</si>
  <si>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</si>
  <si>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</si>
  <si>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</si>
  <si>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</si>
  <si>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</si>
  <si>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</si>
  <si>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</si>
  <si>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</si>
  <si>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</si>
  <si>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</si>
  <si>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</si>
  <si>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</si>
  <si>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</si>
  <si>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</si>
  <si>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</si>
  <si>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</si>
  <si>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</si>
  <si>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</si>
  <si>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</si>
  <si>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</si>
  <si>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</si>
  <si>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</si>
  <si>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</si>
  <si>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</si>
  <si>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</si>
  <si>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</si>
  <si>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</si>
  <si>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</si>
  <si>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</si>
  <si>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</si>
  <si>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</si>
  <si>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</si>
  <si>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</si>
  <si>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</si>
  <si>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</si>
  <si>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</si>
  <si>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</si>
  <si>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</si>
  <si>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</si>
  <si>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</si>
  <si>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</si>
  <si>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</si>
  <si>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</si>
  <si>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</si>
  <si>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</si>
  <si>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</si>
  <si>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</si>
  <si>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</si>
  <si>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</si>
  <si>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</si>
  <si>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</si>
  <si>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</si>
  <si>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</si>
  <si>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</si>
  <si>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</si>
  <si>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</si>
  <si>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</si>
  <si>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</si>
  <si>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</si>
  <si>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</si>
  <si>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</si>
  <si>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</si>
  <si>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</si>
  <si>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</si>
  <si>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</si>
  <si>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</si>
  <si>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</si>
  <si>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</si>
  <si>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</si>
  <si>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</si>
  <si>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</si>
  <si>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</si>
  <si>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</si>
  <si>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</si>
  <si>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</si>
  <si>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</si>
  <si>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</si>
  <si>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</si>
  <si>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</si>
  <si>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</si>
  <si>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</si>
  <si>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</si>
  <si>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</si>
  <si>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</si>
  <si>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</si>
  <si>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</si>
  <si>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</si>
  <si>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</si>
  <si>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</si>
  <si>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</si>
  <si>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</si>
  <si>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</si>
  <si>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</si>
  <si>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</si>
  <si>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</si>
  <si>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</si>
  <si>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</si>
  <si>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</si>
  <si>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</si>
  <si>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</si>
  <si>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</si>
  <si>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</si>
  <si>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</si>
  <si>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</si>
  <si>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</si>
  <si>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</si>
  <si>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</si>
  <si>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</si>
  <si>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</si>
  <si>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</si>
  <si>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</si>
  <si>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</si>
  <si>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</si>
  <si>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</si>
  <si>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</si>
  <si>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</si>
  <si>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</si>
  <si>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</si>
  <si>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</si>
  <si>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</si>
  <si>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</si>
  <si>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</si>
  <si>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</si>
  <si>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</si>
  <si>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</si>
  <si>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</si>
  <si>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</si>
  <si>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</si>
  <si>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</si>
  <si>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</si>
  <si>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</si>
  <si>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</si>
  <si>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</si>
  <si>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</si>
  <si>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</si>
  <si>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</si>
  <si>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</si>
  <si>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</si>
  <si>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</si>
  <si>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</si>
  <si>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</si>
  <si>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</si>
  <si>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</si>
  <si>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</si>
  <si>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</si>
  <si>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</si>
  <si>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</si>
  <si>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</si>
  <si>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</si>
  <si>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</si>
  <si>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</si>
  <si>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</si>
  <si>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</si>
  <si>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</si>
  <si>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</si>
  <si>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</si>
  <si>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</si>
  <si>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</si>
  <si>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</si>
  <si>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</si>
  <si>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</si>
  <si>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</si>
  <si>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</si>
  <si>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</si>
  <si>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</si>
  <si>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</si>
  <si>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</si>
  <si>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</si>
  <si>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</si>
  <si>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</si>
  <si>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</si>
  <si>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</si>
  <si>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</si>
  <si>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</si>
  <si>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</si>
  <si>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</si>
  <si>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</si>
  <si>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</si>
  <si>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</si>
  <si>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</si>
  <si>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</si>
  <si>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</si>
  <si>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</si>
  <si>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</si>
  <si>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</si>
  <si>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</si>
  <si>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</si>
  <si>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</si>
  <si>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</si>
  <si>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</si>
  <si>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</si>
  <si>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</si>
  <si>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</si>
  <si>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</si>
  <si>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</si>
  <si>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</si>
  <si>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</si>
  <si>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</si>
  <si>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</si>
  <si>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</si>
  <si>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</si>
  <si>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</si>
  <si>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</si>
  <si>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</si>
  <si>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</si>
  <si>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</si>
  <si>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</si>
  <si>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</si>
  <si>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</si>
  <si>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</si>
  <si>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</si>
  <si>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</si>
  <si>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</si>
  <si>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</si>
  <si>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</si>
  <si>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</si>
  <si>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</si>
  <si>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</si>
  <si>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</si>
  <si>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</si>
  <si>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</si>
  <si>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</si>
  <si>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</si>
  <si>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</si>
  <si>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</si>
  <si>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</si>
  <si>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</si>
  <si>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</si>
  <si>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</si>
  <si>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</si>
  <si>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</si>
  <si>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</si>
  <si>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</si>
  <si>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</si>
  <si>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</si>
  <si>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</si>
  <si>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</si>
  <si>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</si>
  <si>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</si>
  <si>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</si>
  <si>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</si>
  <si>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</si>
  <si>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</si>
  <si>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</si>
  <si>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</si>
  <si>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</si>
  <si>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</si>
  <si>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</si>
  <si>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</si>
  <si>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</si>
  <si>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</si>
  <si>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</si>
  <si>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</si>
  <si>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</si>
  <si>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</si>
  <si>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</si>
  <si>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</si>
  <si>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</si>
  <si>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</si>
  <si>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</si>
  <si>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</si>
  <si>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</si>
  <si>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</si>
  <si>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</si>
  <si>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</si>
  <si>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</si>
  <si>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</si>
  <si>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</si>
  <si>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</si>
  <si>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</si>
  <si>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</si>
  <si>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</si>
  <si>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</si>
  <si>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</si>
  <si>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</si>
  <si>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</si>
  <si>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</si>
  <si>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</si>
  <si>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</si>
  <si>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</si>
  <si>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</si>
  <si>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</si>
  <si>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</si>
  <si>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</si>
  <si>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</si>
  <si>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</si>
  <si>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</si>
  <si>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</si>
  <si>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</si>
  <si>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</si>
  <si>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</si>
  <si>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</si>
  <si>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</si>
  <si>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</si>
  <si>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</si>
  <si>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</si>
  <si>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</si>
  <si>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</si>
  <si>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</si>
  <si>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</si>
  <si>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</si>
  <si>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</si>
  <si>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</si>
  <si>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</si>
  <si>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</si>
  <si>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</si>
  <si>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</si>
  <si>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</si>
  <si>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</si>
  <si>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</si>
  <si>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</si>
  <si>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</si>
  <si>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</si>
  <si>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</si>
  <si>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</si>
  <si>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</si>
  <si>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</si>
  <si>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</si>
  <si>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</si>
  <si>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</si>
  <si>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</si>
  <si>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</si>
  <si>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</si>
  <si>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</si>
  <si>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</si>
  <si>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</si>
  <si>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</si>
  <si>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</si>
  <si>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</si>
  <si>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</si>
  <si>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</si>
  <si>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</si>
  <si>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</si>
  <si>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</si>
  <si>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</si>
  <si>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</si>
  <si>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</si>
  <si>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</si>
  <si>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</si>
  <si>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</si>
  <si>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</si>
  <si>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</si>
  <si>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</si>
  <si>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</si>
  <si>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</si>
  <si>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</si>
  <si>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</si>
  <si>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</si>
  <si>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</si>
  <si>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</si>
  <si>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</si>
  <si>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</si>
  <si>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</si>
  <si>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</si>
  <si>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</si>
  <si>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</si>
  <si>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</si>
  <si>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</si>
  <si>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</si>
  <si>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</si>
  <si>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</si>
  <si>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</si>
  <si>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</si>
  <si>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</si>
  <si>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</si>
  <si>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</si>
  <si>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</si>
  <si>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</si>
  <si>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</si>
  <si>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</si>
  <si>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</si>
  <si>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</si>
  <si>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</si>
  <si>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</si>
  <si>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</si>
  <si>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</si>
  <si>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</si>
  <si>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</si>
  <si>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</si>
  <si>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</si>
  <si>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</si>
  <si>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</si>
  <si>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</si>
  <si>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</si>
  <si>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</si>
  <si>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</si>
  <si>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</si>
  <si>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</si>
  <si>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</si>
  <si>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</si>
  <si>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</si>
  <si>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</si>
  <si>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</si>
  <si>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</si>
  <si>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</si>
  <si>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</si>
  <si>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</si>
  <si>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</si>
  <si>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</si>
  <si>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</si>
  <si>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</si>
  <si>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</si>
  <si>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</si>
  <si>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</si>
  <si>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</si>
  <si>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</si>
  <si>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</si>
  <si>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</si>
  <si>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</si>
  <si>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</si>
  <si>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</si>
  <si>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</si>
  <si>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</si>
  <si>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</si>
  <si>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</si>
  <si>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</si>
  <si>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</si>
  <si>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</si>
  <si>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</si>
  <si>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</si>
  <si>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</si>
  <si>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</si>
  <si>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</si>
  <si>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</si>
  <si>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</si>
  <si>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</si>
  <si>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</si>
  <si>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</si>
  <si>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</si>
  <si>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</si>
  <si>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</si>
  <si>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</si>
  <si>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</si>
  <si>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</si>
  <si>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</si>
  <si>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</si>
  <si>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</si>
  <si>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</si>
  <si>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</si>
  <si>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</si>
  <si>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</si>
  <si>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</si>
  <si>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</si>
  <si>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</si>
  <si>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</si>
  <si>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</si>
  <si>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</si>
  <si>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</si>
  <si>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</si>
  <si>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</si>
  <si>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</si>
  <si>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</si>
  <si>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</si>
  <si>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</si>
  <si>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</si>
  <si>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</si>
  <si>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</si>
  <si>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</si>
  <si>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</si>
  <si>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</si>
  <si>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</si>
  <si>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</si>
  <si>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</si>
  <si>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</si>
  <si>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</si>
  <si>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</si>
  <si>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</si>
  <si>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</si>
  <si>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</si>
  <si>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</si>
  <si>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</si>
  <si>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</si>
  <si>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</si>
  <si>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</si>
  <si>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</si>
  <si>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</si>
  <si>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</si>
  <si>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</si>
  <si>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</si>
  <si>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</si>
  <si>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</si>
  <si>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</si>
  <si>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</si>
  <si>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</si>
  <si>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</si>
  <si>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</si>
  <si>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</si>
  <si>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</si>
  <si>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</si>
  <si>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</si>
  <si>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</si>
  <si>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</si>
  <si>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</si>
  <si>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</si>
  <si>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</si>
  <si>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</si>
  <si>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</si>
  <si>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</si>
  <si>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</si>
  <si>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</si>
  <si>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</si>
  <si>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</si>
  <si>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</si>
  <si>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</si>
  <si>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</si>
  <si>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</si>
  <si>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</si>
  <si>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</si>
  <si>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</si>
  <si>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</si>
  <si>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</si>
  <si>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</si>
  <si>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</si>
  <si>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</si>
  <si>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</si>
  <si>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</si>
  <si>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</si>
  <si>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</si>
  <si>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</si>
  <si>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</si>
  <si>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</si>
  <si>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</si>
  <si>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</si>
  <si>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</si>
  <si>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</si>
  <si>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</si>
  <si>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</si>
  <si>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</si>
  <si>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</si>
  <si>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</si>
  <si>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</si>
  <si>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</si>
  <si>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</si>
  <si>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</si>
  <si>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</si>
  <si>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</si>
  <si>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</si>
  <si>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</si>
  <si>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</si>
  <si>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</si>
  <si>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</si>
  <si>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</si>
  <si>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</si>
  <si>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</si>
  <si>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</si>
  <si>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</si>
  <si>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</si>
  <si>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</si>
  <si>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</si>
  <si>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</si>
  <si>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</si>
  <si>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</si>
  <si>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</si>
  <si>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</si>
  <si>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</si>
  <si>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</si>
  <si>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</si>
  <si>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</si>
  <si>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</si>
  <si>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</si>
  <si>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</si>
  <si>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</si>
  <si>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</si>
  <si>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</si>
  <si>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</si>
  <si>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</si>
  <si>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</si>
  <si>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</si>
  <si>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</si>
  <si>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</si>
  <si>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</si>
  <si>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</si>
  <si>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</si>
  <si>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</si>
  <si>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</si>
  <si>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</si>
  <si>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</si>
  <si>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</si>
  <si>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</si>
  <si>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</si>
  <si>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</si>
  <si>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</si>
  <si>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</si>
  <si>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</si>
  <si>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</si>
  <si>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</si>
  <si>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</si>
  <si>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</si>
  <si>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</si>
  <si>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</si>
  <si>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</si>
  <si>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</si>
  <si>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</si>
  <si>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</si>
  <si>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</si>
  <si>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</si>
  <si>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</si>
  <si>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</si>
  <si>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</si>
  <si>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</si>
  <si>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</si>
  <si>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</si>
  <si>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</si>
  <si>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</si>
  <si>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</si>
  <si>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</si>
  <si>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</si>
  <si>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</si>
  <si>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</si>
  <si>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</si>
  <si>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</si>
  <si>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</si>
  <si>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</si>
  <si>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</si>
  <si>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</si>
  <si>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</si>
  <si>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</si>
  <si>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</si>
  <si>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</si>
  <si>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</si>
  <si>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</si>
  <si>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</si>
  <si>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</si>
  <si>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</si>
  <si>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</si>
  <si>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</si>
  <si>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</si>
  <si>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</si>
  <si>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</si>
  <si>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</si>
  <si>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</si>
  <si>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</si>
  <si>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</si>
  <si>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</si>
  <si>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</si>
  <si>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</si>
  <si>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</si>
  <si>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</si>
  <si>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</si>
  <si>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</si>
  <si>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</si>
  <si>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</si>
  <si>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</si>
  <si>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</si>
  <si>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</si>
  <si>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</si>
  <si>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</si>
  <si>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</si>
  <si>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</si>
  <si>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</si>
  <si>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</si>
  <si>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</si>
  <si>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</si>
  <si>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</si>
  <si>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</si>
  <si>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</si>
  <si>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</si>
  <si>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</si>
  <si>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</si>
  <si>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</si>
  <si>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</si>
  <si>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</si>
  <si>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</si>
  <si>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</si>
  <si>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</si>
  <si>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</si>
  <si>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</si>
  <si>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</si>
  <si>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</si>
  <si>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</si>
  <si>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</si>
  <si>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</si>
  <si>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</si>
  <si>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</si>
  <si>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</si>
  <si>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</si>
  <si>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</si>
  <si>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</si>
  <si>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</si>
  <si>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</si>
  <si>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</si>
  <si>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</si>
  <si>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</si>
  <si>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</si>
  <si>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</si>
  <si>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</si>
  <si>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</si>
  <si>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</si>
  <si>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</si>
  <si>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</si>
  <si>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</si>
  <si>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</si>
  <si>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</si>
  <si>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</si>
  <si>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</si>
  <si>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</si>
  <si>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</si>
  <si>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</si>
  <si>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</si>
  <si>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</si>
  <si>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</si>
  <si>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</si>
  <si>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</si>
  <si>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</si>
  <si>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</si>
  <si>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</si>
  <si>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</si>
  <si>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</si>
  <si>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</si>
  <si>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</si>
  <si>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</si>
  <si>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</si>
  <si>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</si>
  <si>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</si>
  <si>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</si>
  <si>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</si>
  <si>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</si>
  <si>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</si>
  <si>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</si>
  <si>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</si>
  <si>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</si>
  <si>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</si>
  <si>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</si>
  <si>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</si>
  <si>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</si>
  <si>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</si>
  <si>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</si>
  <si>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</si>
  <si>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</si>
  <si>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</si>
  <si>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</si>
  <si>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</si>
  <si>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</si>
  <si>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</si>
  <si>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</si>
  <si>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</si>
  <si>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</si>
  <si>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</si>
  <si>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</si>
  <si>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</si>
  <si>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</si>
  <si>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</si>
  <si>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</si>
  <si>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</si>
  <si>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</si>
  <si>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</si>
  <si>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</si>
  <si>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</si>
  <si>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</si>
  <si>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</si>
  <si>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</si>
  <si>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</si>
  <si>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</si>
  <si>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</si>
  <si>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</si>
  <si>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</si>
  <si>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</si>
  <si>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</si>
  <si>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</si>
  <si>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</si>
  <si>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</si>
  <si>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</si>
  <si>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</si>
  <si>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</si>
  <si>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</si>
  <si>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</si>
  <si>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</si>
  <si>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</si>
  <si>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</si>
  <si>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</si>
  <si>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</si>
  <si>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</si>
  <si>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</si>
  <si>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</si>
  <si>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</si>
  <si>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</si>
  <si>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</si>
  <si>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</si>
  <si>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</si>
  <si>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</si>
  <si>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</si>
  <si>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</si>
  <si>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</si>
  <si>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</si>
  <si>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</si>
  <si>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</si>
  <si>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</si>
  <si>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</si>
  <si>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</si>
  <si>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</si>
  <si>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</si>
  <si>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</si>
  <si>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</si>
  <si>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</si>
  <si>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</si>
  <si>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</si>
  <si>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</si>
  <si>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</si>
  <si>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</si>
  <si>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</si>
  <si>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</si>
  <si>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</si>
  <si>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</si>
  <si>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</si>
  <si>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</si>
  <si>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</si>
  <si>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</si>
  <si>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</si>
  <si>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</si>
  <si>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</si>
  <si>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</si>
  <si>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</si>
  <si>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</si>
  <si>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</si>
  <si>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</si>
  <si>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</si>
  <si>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</si>
  <si>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</si>
  <si>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</si>
  <si>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</si>
  <si>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</si>
  <si>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</si>
  <si>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</si>
  <si>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</si>
  <si>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</si>
  <si>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</si>
  <si>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</si>
  <si>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</si>
  <si>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</si>
  <si>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</si>
  <si>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</si>
  <si>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</si>
  <si>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</si>
  <si>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</si>
  <si>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</si>
  <si>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</si>
  <si>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</si>
  <si>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</si>
  <si>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</si>
  <si>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</si>
  <si>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</si>
  <si>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</si>
  <si>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</si>
  <si>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</si>
  <si>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</si>
  <si>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</si>
  <si>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</si>
  <si>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</si>
  <si>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</si>
  <si>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</si>
  <si>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</si>
  <si>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</si>
  <si>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</si>
  <si>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</si>
  <si>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</si>
  <si>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</si>
  <si>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</si>
  <si>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</si>
  <si>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</si>
  <si>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</si>
  <si>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</si>
  <si>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</si>
  <si>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</si>
  <si>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</si>
  <si>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</si>
  <si>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</si>
  <si>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</si>
  <si>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</si>
  <si>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</si>
  <si>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</si>
  <si>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</si>
  <si>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</si>
  <si>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</si>
  <si>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</si>
  <si>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</si>
  <si>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</si>
  <si>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</si>
  <si>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</si>
  <si>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</si>
  <si>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</si>
  <si>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</si>
  <si>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</si>
  <si>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</si>
  <si>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</si>
  <si>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</si>
  <si>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</si>
  <si>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</si>
  <si>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</si>
  <si>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</si>
  <si>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</si>
  <si>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</si>
  <si>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</si>
  <si>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</si>
  <si>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</si>
  <si>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</si>
  <si>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</si>
  <si>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</si>
  <si>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</si>
  <si>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</si>
  <si>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</si>
  <si>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</si>
  <si>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</si>
  <si>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</si>
  <si>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</si>
  <si>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</si>
  <si>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</si>
  <si>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</si>
  <si>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</si>
  <si>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</si>
  <si>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</si>
  <si>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</si>
  <si>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</si>
  <si>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</si>
  <si>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</si>
  <si>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</si>
  <si>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</si>
  <si>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</si>
  <si>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</si>
  <si>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</si>
  <si>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</si>
  <si>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</si>
  <si>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</si>
  <si>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</si>
  <si>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</si>
  <si>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</si>
  <si>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</si>
  <si>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</si>
  <si>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</si>
  <si>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</si>
  <si>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</si>
  <si>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</si>
  <si>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</si>
  <si>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</si>
  <si>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</si>
  <si>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</si>
  <si>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</si>
  <si>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</si>
  <si>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</si>
  <si>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</si>
  <si>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</si>
  <si>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</si>
  <si>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</si>
  <si>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</si>
  <si>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</si>
  <si>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</si>
  <si>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</si>
  <si>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</si>
  <si>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</si>
  <si>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</si>
  <si>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</si>
  <si>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</si>
  <si>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</si>
  <si>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</si>
  <si>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</si>
  <si>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</si>
  <si>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</si>
  <si>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</si>
  <si>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</si>
  <si>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</si>
  <si>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</si>
  <si>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</si>
  <si>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</si>
  <si>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</si>
  <si>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</si>
  <si>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</si>
  <si>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</si>
  <si>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</si>
  <si>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</si>
  <si>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</si>
  <si>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</si>
  <si>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</si>
  <si>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</si>
  <si>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</si>
  <si>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</si>
  <si>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</si>
  <si>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</si>
  <si>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</si>
  <si>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</si>
  <si>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</si>
  <si>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</si>
  <si>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</si>
  <si>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</si>
  <si>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</si>
  <si>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</si>
  <si>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</si>
  <si>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</si>
  <si>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</si>
  <si>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</si>
  <si>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</si>
  <si>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</si>
  <si>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</si>
  <si>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</si>
  <si>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</si>
  <si>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</si>
  <si>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</si>
  <si>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</si>
  <si>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</si>
  <si>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</si>
  <si>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</si>
  <si>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</si>
  <si>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</si>
  <si>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</si>
  <si>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</si>
  <si>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</si>
  <si>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</si>
  <si>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</si>
  <si>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</si>
  <si>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</si>
  <si>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</si>
  <si>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</si>
  <si>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</si>
  <si>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</si>
  <si>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</si>
  <si>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</si>
  <si>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</si>
  <si>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</si>
  <si>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</si>
  <si>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</si>
  <si>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</si>
  <si>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</si>
  <si>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</si>
  <si>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</si>
  <si>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</si>
  <si>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</si>
  <si>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</si>
  <si>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</si>
  <si>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</si>
  <si>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</si>
  <si>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</si>
  <si>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</si>
  <si>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</si>
  <si>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</si>
  <si>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</si>
  <si>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</si>
  <si>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</si>
  <si>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</si>
  <si>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</si>
  <si>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</si>
  <si>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</si>
  <si>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</si>
  <si>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</si>
  <si>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</si>
  <si>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</si>
  <si>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</si>
  <si>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</si>
  <si>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</si>
  <si>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</si>
  <si>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</si>
  <si>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</si>
  <si>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</si>
  <si>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</si>
  <si>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</si>
  <si>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</si>
  <si>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</si>
  <si>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</si>
  <si>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</si>
  <si>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</si>
  <si>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</si>
  <si>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</si>
  <si>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</si>
  <si>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</si>
  <si>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</si>
  <si>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</si>
  <si>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</si>
  <si>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</si>
  <si>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</si>
  <si>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</si>
  <si>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</si>
  <si>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</si>
  <si>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</si>
  <si>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</si>
  <si>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</si>
  <si>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</si>
  <si>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</si>
  <si>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</si>
  <si>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</si>
  <si>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</si>
  <si>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</si>
  <si>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</si>
  <si>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</si>
  <si>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</si>
  <si>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</si>
  <si>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</si>
  <si>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</si>
  <si>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</si>
  <si>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</si>
  <si>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</si>
  <si>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</si>
  <si>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</si>
  <si>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</si>
  <si>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</si>
  <si>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</si>
  <si>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</si>
  <si>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</si>
  <si>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</si>
  <si>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</si>
  <si>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</si>
  <si>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</si>
  <si>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</si>
  <si>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</si>
  <si>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</si>
  <si>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</si>
  <si>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</si>
  <si>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</si>
  <si>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</si>
  <si>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</si>
  <si>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</si>
  <si>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</si>
  <si>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</si>
  <si>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</si>
  <si>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</si>
  <si>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</si>
  <si>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</si>
  <si>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</si>
  <si>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</si>
  <si>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</si>
  <si>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</si>
  <si>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</si>
  <si>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</si>
  <si>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</si>
  <si>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</si>
  <si>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</si>
  <si>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</si>
  <si>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</si>
  <si>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</si>
  <si>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</si>
  <si>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</si>
  <si>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</si>
  <si>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</si>
  <si>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</si>
  <si>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</si>
  <si>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</si>
  <si>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</si>
  <si>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</si>
  <si>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</si>
  <si>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</si>
  <si>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</si>
  <si>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</si>
  <si>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</si>
  <si>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</si>
  <si>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</si>
  <si>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</si>
  <si>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</si>
  <si>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</si>
  <si>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</si>
  <si>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</si>
  <si>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</si>
  <si>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</si>
  <si>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</si>
  <si>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</si>
  <si>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</si>
  <si>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</si>
  <si>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Al 31 de diciembre de 2020 y al 30 de marzo de 2021 (b)</t>
  </si>
  <si>
    <t>Del 1 de enero al 30 de marzo de 2021 (b)</t>
  </si>
  <si>
    <t>Instituto Municipal de Vivienda de San Miguel de Allende, Gto.</t>
  </si>
  <si>
    <t>NO APLICA</t>
  </si>
  <si>
    <t>SIN INFORMACION QR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</si>
</sst>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0" fillId="0" borderId="13" xfId="0" applyNumberFormat="1" applyFill="1" applyBorder="1" applyProtection="1"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9" t="s">
        <v>829</v>
      </c>
      <c r="B1" s="150"/>
      <c r="C1" s="150"/>
      <c r="D1" s="150"/>
      <c r="E1" s="15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3304</v>
      </c>
      <c r="D3" s="15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topLeftCell="A52" workbookViewId="0">
      <selection activeCell="B66" sqref="B66:D66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Instituto Municipal de Vivienda de San Miguel de Allende, Gto., Gobierno del Estado de Guanajuato (a)</v>
      </c>
      <c r="B2" s="154"/>
      <c r="C2" s="154"/>
      <c r="D2" s="155"/>
    </row>
    <row r="3" spans="1:11" ht="14.25" x14ac:dyDescent="0.45">
      <c r="A3" s="156" t="s">
        <v>166</v>
      </c>
      <c r="B3" s="157"/>
      <c r="C3" s="157"/>
      <c r="D3" s="158"/>
    </row>
    <row r="4" spans="1:11" ht="14.25" x14ac:dyDescent="0.45">
      <c r="A4" s="159" t="str">
        <f>TRIMESTRE</f>
        <v>Del 1 de enero al 30 de marzo de 2021 (b)</v>
      </c>
      <c r="B4" s="160"/>
      <c r="C4" s="160"/>
      <c r="D4" s="161"/>
    </row>
    <row r="5" spans="1:11" ht="14.25" x14ac:dyDescent="0.45">
      <c r="A5" s="162" t="s">
        <v>118</v>
      </c>
      <c r="B5" s="163"/>
      <c r="C5" s="163"/>
      <c r="D5" s="164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12645849</v>
      </c>
      <c r="C8" s="40">
        <f t="shared" ref="C8:D8" si="0">SUM(C9:C11)</f>
        <v>5496281.54</v>
      </c>
      <c r="D8" s="40">
        <f t="shared" si="0"/>
        <v>5327441.54</v>
      </c>
    </row>
    <row r="9" spans="1:11" x14ac:dyDescent="0.25">
      <c r="A9" s="53" t="s">
        <v>169</v>
      </c>
      <c r="B9" s="23">
        <v>12645849</v>
      </c>
      <c r="C9" s="23">
        <v>5496281.54</v>
      </c>
      <c r="D9" s="23">
        <v>5327441.54</v>
      </c>
    </row>
    <row r="10" spans="1:11" x14ac:dyDescent="0.25">
      <c r="A10" s="53" t="s">
        <v>170</v>
      </c>
      <c r="B10" s="23">
        <v>0</v>
      </c>
      <c r="C10" s="23">
        <v>0</v>
      </c>
      <c r="D10" s="23">
        <v>0</v>
      </c>
    </row>
    <row r="11" spans="1:11" x14ac:dyDescent="0.25">
      <c r="A11" s="53" t="s">
        <v>171</v>
      </c>
      <c r="B11" s="23">
        <v>0</v>
      </c>
      <c r="C11" s="23">
        <v>0</v>
      </c>
      <c r="D11" s="23"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12645849</v>
      </c>
      <c r="C13" s="40">
        <f t="shared" ref="C13:D13" si="1">C14+C15</f>
        <v>5826575.2699999996</v>
      </c>
      <c r="D13" s="40">
        <f t="shared" si="1"/>
        <v>5820343.6500000004</v>
      </c>
    </row>
    <row r="14" spans="1:11" x14ac:dyDescent="0.25">
      <c r="A14" s="53" t="s">
        <v>172</v>
      </c>
      <c r="B14" s="23">
        <v>12645849</v>
      </c>
      <c r="C14" s="23">
        <v>5826575.2699999996</v>
      </c>
      <c r="D14" s="23">
        <v>5820343.6500000004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ht="14.25" x14ac:dyDescent="0.45">
      <c r="A16" s="95"/>
      <c r="B16" s="12"/>
      <c r="C16" s="12"/>
      <c r="D16" s="12"/>
    </row>
    <row r="17" spans="1:4" x14ac:dyDescent="0.25">
      <c r="A17" s="55" t="s">
        <v>174</v>
      </c>
      <c r="B17" s="118">
        <f>B18+B19</f>
        <v>0</v>
      </c>
      <c r="C17" s="40">
        <f t="shared" ref="C17" si="2">C18+C19</f>
        <v>697692.34</v>
      </c>
      <c r="D17" s="40">
        <f>D18+D19</f>
        <v>697692.34</v>
      </c>
    </row>
    <row r="18" spans="1:4" x14ac:dyDescent="0.25">
      <c r="A18" s="53" t="s">
        <v>175</v>
      </c>
      <c r="B18" s="119">
        <v>0</v>
      </c>
      <c r="C18" s="148">
        <v>697692.34</v>
      </c>
      <c r="D18" s="148">
        <v>697692.34</v>
      </c>
    </row>
    <row r="19" spans="1:4" x14ac:dyDescent="0.25">
      <c r="A19" s="53" t="s">
        <v>176</v>
      </c>
      <c r="B19" s="119">
        <v>0</v>
      </c>
      <c r="C19" s="23">
        <v>0</v>
      </c>
      <c r="D19" s="117">
        <v>0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3">C8-C13+C17</f>
        <v>367398.61000000045</v>
      </c>
      <c r="D21" s="40">
        <f t="shared" si="3"/>
        <v>204790.22999999963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4">C21-C11</f>
        <v>367398.61000000045</v>
      </c>
      <c r="D23" s="40">
        <f t="shared" si="4"/>
        <v>204790.22999999963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20" t="s">
        <v>179</v>
      </c>
      <c r="B25" s="40">
        <f>B23-B17</f>
        <v>0</v>
      </c>
      <c r="C25" s="40">
        <f t="shared" ref="C25" si="5">C23-C17</f>
        <v>-330293.72999999952</v>
      </c>
      <c r="D25" s="40">
        <f>D23-D17</f>
        <v>-492902.11000000034</v>
      </c>
    </row>
    <row r="26" spans="1:4" ht="14.25" x14ac:dyDescent="0.45">
      <c r="A26" s="121"/>
      <c r="B26" s="13"/>
      <c r="C26" s="13"/>
      <c r="D26" s="13"/>
    </row>
    <row r="27" spans="1:4" ht="14.25" x14ac:dyDescent="0.45">
      <c r="A27" s="90"/>
    </row>
    <row r="28" spans="1:4" ht="30" customHeight="1" x14ac:dyDescent="0.4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ht="14.25" x14ac:dyDescent="0.45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ht="14.25" x14ac:dyDescent="0.45">
      <c r="A30" s="53" t="s">
        <v>187</v>
      </c>
      <c r="B30" s="60">
        <v>0</v>
      </c>
      <c r="C30" s="60">
        <v>0</v>
      </c>
      <c r="D30" s="60">
        <v>0</v>
      </c>
    </row>
    <row r="31" spans="1:4" ht="14.25" x14ac:dyDescent="0.45">
      <c r="A31" s="53" t="s">
        <v>188</v>
      </c>
      <c r="B31" s="60">
        <v>0</v>
      </c>
      <c r="C31" s="60">
        <v>0</v>
      </c>
      <c r="D31" s="60">
        <v>0</v>
      </c>
    </row>
    <row r="32" spans="1:4" ht="14.25" x14ac:dyDescent="0.45">
      <c r="A32" s="54"/>
      <c r="B32" s="54"/>
      <c r="C32" s="54"/>
      <c r="D32" s="54"/>
    </row>
    <row r="33" spans="1:4" ht="14.25" x14ac:dyDescent="0.45">
      <c r="A33" s="55" t="s">
        <v>189</v>
      </c>
      <c r="B33" s="61">
        <f>B25+B29</f>
        <v>0</v>
      </c>
      <c r="C33" s="61">
        <f t="shared" ref="C33:D33" si="7">C25+C29</f>
        <v>-330293.72999999952</v>
      </c>
      <c r="D33" s="61">
        <f t="shared" si="7"/>
        <v>-492902.11000000034</v>
      </c>
    </row>
    <row r="34" spans="1:4" ht="14.25" x14ac:dyDescent="0.4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12645849</v>
      </c>
      <c r="C48" s="124">
        <f>C9</f>
        <v>5496281.54</v>
      </c>
      <c r="D48" s="124">
        <f t="shared" ref="D48" si="11">D9</f>
        <v>5327441.54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12645849</v>
      </c>
      <c r="C53" s="60">
        <f t="shared" ref="C53:D53" si="13">C14</f>
        <v>5826575.2699999996</v>
      </c>
      <c r="D53" s="60">
        <f t="shared" si="13"/>
        <v>5820343.6500000004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4">C18</f>
        <v>697692.34</v>
      </c>
      <c r="D55" s="60">
        <f t="shared" si="14"/>
        <v>697692.34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367398.61000000045</v>
      </c>
      <c r="D57" s="61">
        <f t="shared" ref="D57" si="15">D48+D49-D53+D55</f>
        <v>204790.22999999963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6">C57-C49</f>
        <v>367398.61000000045</v>
      </c>
      <c r="D59" s="61">
        <f t="shared" si="16"/>
        <v>204790.22999999963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7">C10</f>
        <v>0</v>
      </c>
      <c r="D63" s="122">
        <f t="shared" si="17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8">C65-C66</f>
        <v>0</v>
      </c>
      <c r="D64" s="40">
        <f t="shared" si="18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19">C15</f>
        <v>0</v>
      </c>
      <c r="D68" s="23">
        <f t="shared" si="19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0">C19</f>
        <v>0</v>
      </c>
      <c r="D70" s="23">
        <f t="shared" si="20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1">C63+C64-C68+C70</f>
        <v>0</v>
      </c>
      <c r="D72" s="40">
        <f t="shared" si="21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2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12645849</v>
      </c>
      <c r="Q2" s="18">
        <f>'Formato 4'!C8</f>
        <v>5496281.54</v>
      </c>
      <c r="R2" s="18">
        <f>'Formato 4'!D8</f>
        <v>5327441.54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12645849</v>
      </c>
      <c r="Q3" s="18">
        <f>'Formato 4'!C9</f>
        <v>5496281.54</v>
      </c>
      <c r="R3" s="18">
        <f>'Formato 4'!D9</f>
        <v>5327441.54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12645849</v>
      </c>
      <c r="Q6" s="18">
        <f>'Formato 4'!C13</f>
        <v>5826575.2699999996</v>
      </c>
      <c r="R6" s="18">
        <f>'Formato 4'!D13</f>
        <v>5820343.6500000004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12645849</v>
      </c>
      <c r="Q7" s="18">
        <f>'Formato 4'!C14</f>
        <v>5826575.2699999996</v>
      </c>
      <c r="R7" s="18">
        <f>'Formato 4'!D14</f>
        <v>5820343.6500000004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697692.34</v>
      </c>
      <c r="R9" s="18">
        <f>'Formato 4'!D17</f>
        <v>697692.34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697692.34</v>
      </c>
      <c r="R10" s="18">
        <f>'Formato 4'!D18</f>
        <v>697692.34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367398.61000000045</v>
      </c>
      <c r="R12" s="18">
        <f>'Formato 4'!D21</f>
        <v>204790.22999999963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367398.61000000045</v>
      </c>
      <c r="R13" s="18">
        <f>'Formato 4'!D23</f>
        <v>204790.22999999963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-330293.72999999952</v>
      </c>
      <c r="R14" s="18">
        <f>'Formato 4'!D25</f>
        <v>-492902.11000000034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-330293.72999999952</v>
      </c>
      <c r="R18">
        <f>'Formato 4'!D33</f>
        <v>-492902.11000000034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12645849</v>
      </c>
      <c r="Q26">
        <f>'Formato 4'!C48</f>
        <v>5496281.54</v>
      </c>
      <c r="R26">
        <f>'Formato 4'!D48</f>
        <v>5327441.54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12645849</v>
      </c>
      <c r="Q30">
        <f>'Formato 4'!C53</f>
        <v>5826575.2699999996</v>
      </c>
      <c r="R30">
        <f>'Formato 4'!D53</f>
        <v>5820343.6500000004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697692.34</v>
      </c>
      <c r="R31">
        <f>'Formato 4'!D55</f>
        <v>697692.34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topLeftCell="A43" zoomScale="85" zoomScaleNormal="85" workbookViewId="0">
      <selection activeCell="B73" sqref="B73:F74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25" x14ac:dyDescent="0.45">
      <c r="A2" s="153" t="str">
        <f>ENTE_PUBLICO_A</f>
        <v>Instituto Municipal de Vivienda de San Miguel de Allende, Gto.,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25" x14ac:dyDescent="0.45">
      <c r="A4" s="159" t="str">
        <f>TRIMESTRE</f>
        <v>Del 1 de enero al 30 de marzo de 2021 (b)</v>
      </c>
      <c r="B4" s="160"/>
      <c r="C4" s="160"/>
      <c r="D4" s="160"/>
      <c r="E4" s="160"/>
      <c r="F4" s="160"/>
      <c r="G4" s="161"/>
    </row>
    <row r="5" spans="1:8" ht="14.25" x14ac:dyDescent="0.4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x14ac:dyDescent="0.2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x14ac:dyDescent="0.25">
      <c r="A13" s="53" t="s">
        <v>220</v>
      </c>
      <c r="B13" s="60">
        <v>293059</v>
      </c>
      <c r="C13" s="60">
        <v>0</v>
      </c>
      <c r="D13" s="60">
        <v>293059</v>
      </c>
      <c r="E13" s="60">
        <v>136942.04</v>
      </c>
      <c r="F13" s="60">
        <v>136942.04</v>
      </c>
      <c r="G13" s="60">
        <f t="shared" si="0"/>
        <v>-156116.96</v>
      </c>
    </row>
    <row r="14" spans="1:8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x14ac:dyDescent="0.25">
      <c r="A15" s="53" t="s">
        <v>222</v>
      </c>
      <c r="B15" s="60">
        <v>12352790</v>
      </c>
      <c r="C15" s="60">
        <v>111210</v>
      </c>
      <c r="D15" s="60">
        <v>12464000</v>
      </c>
      <c r="E15" s="60">
        <v>359339.5</v>
      </c>
      <c r="F15" s="60">
        <v>190499.5</v>
      </c>
      <c r="G15" s="60">
        <f t="shared" si="0"/>
        <v>-12162290.5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x14ac:dyDescent="0.2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x14ac:dyDescent="0.2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4" si="4">F31-B31</f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4"/>
        <v>0</v>
      </c>
    </row>
    <row r="34" spans="1:8" x14ac:dyDescent="0.25">
      <c r="A34" s="53" t="s">
        <v>240</v>
      </c>
      <c r="B34" s="60">
        <v>0</v>
      </c>
      <c r="C34" s="60">
        <v>5000000</v>
      </c>
      <c r="D34" s="60">
        <v>5000000</v>
      </c>
      <c r="E34" s="60">
        <v>5000000</v>
      </c>
      <c r="F34" s="60">
        <v>5000000</v>
      </c>
      <c r="G34" s="60">
        <f t="shared" si="4"/>
        <v>5000000</v>
      </c>
    </row>
    <row r="35" spans="1:8" ht="14.25" x14ac:dyDescent="0.45">
      <c r="A35" s="53" t="s">
        <v>241</v>
      </c>
      <c r="B35" s="60">
        <f>B36</f>
        <v>0</v>
      </c>
      <c r="C35" s="60">
        <f t="shared" ref="C35:F35" si="5">C36</f>
        <v>0</v>
      </c>
      <c r="D35" s="60">
        <f t="shared" si="5"/>
        <v>0</v>
      </c>
      <c r="E35" s="60">
        <f t="shared" si="5"/>
        <v>0</v>
      </c>
      <c r="F35" s="60">
        <f t="shared" si="5"/>
        <v>0</v>
      </c>
      <c r="G35" s="60">
        <f>G36</f>
        <v>0</v>
      </c>
    </row>
    <row r="36" spans="1:8" ht="14.25" x14ac:dyDescent="0.4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6">C38+C39</f>
        <v>0</v>
      </c>
      <c r="D37" s="60">
        <f t="shared" si="6"/>
        <v>0</v>
      </c>
      <c r="E37" s="60">
        <f t="shared" si="6"/>
        <v>0</v>
      </c>
      <c r="F37" s="60">
        <f t="shared" si="6"/>
        <v>0</v>
      </c>
      <c r="G37" s="60">
        <f t="shared" si="6"/>
        <v>0</v>
      </c>
    </row>
    <row r="38" spans="1:8" ht="14.25" x14ac:dyDescent="0.4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ht="14.25" x14ac:dyDescent="0.4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12645849</v>
      </c>
      <c r="C41" s="61">
        <f t="shared" ref="C41:E41" si="7">SUM(C9,C10,C11,C12,C13,C14,C15,C16,C28,C34,C35,C37)</f>
        <v>5111210</v>
      </c>
      <c r="D41" s="61">
        <f t="shared" si="7"/>
        <v>17757059</v>
      </c>
      <c r="E41" s="61">
        <f t="shared" si="7"/>
        <v>5496281.54</v>
      </c>
      <c r="F41" s="61">
        <f>SUM(F9,F10,F11,F12,F13,F14,F15,F16,F28,F34,F35,F37)</f>
        <v>5327441.54</v>
      </c>
      <c r="G41" s="61">
        <f>SUM(G9,G10,G11,G12,G13,G14,G15,G16,G28,G34,G35,G37)</f>
        <v>-7318407.4600000009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8">SUM(C46:C53)</f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9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9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9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9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9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9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9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10">SUM(C55:C58)</f>
        <v>0</v>
      </c>
      <c r="D54" s="60">
        <f t="shared" si="10"/>
        <v>0</v>
      </c>
      <c r="E54" s="60">
        <f t="shared" si="10"/>
        <v>0</v>
      </c>
      <c r="F54" s="60">
        <f t="shared" si="10"/>
        <v>0</v>
      </c>
      <c r="G54" s="60">
        <f t="shared" si="10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1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1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1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2">SUM(C60:C61)</f>
        <v>0</v>
      </c>
      <c r="D59" s="60">
        <f t="shared" si="12"/>
        <v>0</v>
      </c>
      <c r="E59" s="60">
        <f t="shared" si="12"/>
        <v>0</v>
      </c>
      <c r="F59" s="60">
        <f t="shared" si="12"/>
        <v>0</v>
      </c>
      <c r="G59" s="60">
        <f t="shared" si="12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3">C45+C54+C59+C62+C63</f>
        <v>0</v>
      </c>
      <c r="D65" s="61">
        <f t="shared" si="13"/>
        <v>0</v>
      </c>
      <c r="E65" s="61">
        <f t="shared" si="13"/>
        <v>0</v>
      </c>
      <c r="F65" s="61">
        <f t="shared" si="13"/>
        <v>0</v>
      </c>
      <c r="G65" s="61">
        <f t="shared" si="13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4">C68</f>
        <v>7442550.7699999996</v>
      </c>
      <c r="D67" s="61">
        <f t="shared" si="14"/>
        <v>7442550.7699999996</v>
      </c>
      <c r="E67" s="61">
        <f t="shared" si="14"/>
        <v>0</v>
      </c>
      <c r="F67" s="61">
        <f t="shared" si="14"/>
        <v>0</v>
      </c>
      <c r="G67" s="61">
        <f t="shared" si="14"/>
        <v>0</v>
      </c>
    </row>
    <row r="68" spans="1:7" x14ac:dyDescent="0.25">
      <c r="A68" s="53" t="s">
        <v>269</v>
      </c>
      <c r="B68" s="60">
        <v>0</v>
      </c>
      <c r="C68" s="60">
        <v>7442550.7699999996</v>
      </c>
      <c r="D68" s="60">
        <v>7442550.7699999996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12645849</v>
      </c>
      <c r="C70" s="61">
        <f t="shared" ref="C70:G70" si="15">C41+C65+C67</f>
        <v>12553760.77</v>
      </c>
      <c r="D70" s="61">
        <f t="shared" si="15"/>
        <v>25199609.77</v>
      </c>
      <c r="E70" s="61">
        <f t="shared" si="15"/>
        <v>5496281.54</v>
      </c>
      <c r="F70" s="61">
        <f t="shared" si="15"/>
        <v>5327441.54</v>
      </c>
      <c r="G70" s="61">
        <f t="shared" si="15"/>
        <v>-7318407.4600000009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7442550.7699999996</v>
      </c>
      <c r="D73" s="60">
        <v>7442550.7699999996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6">C73+C74</f>
        <v>7442550.7699999996</v>
      </c>
      <c r="D75" s="61">
        <f t="shared" si="16"/>
        <v>7442550.7699999996</v>
      </c>
      <c r="E75" s="61">
        <f t="shared" si="16"/>
        <v>0</v>
      </c>
      <c r="F75" s="61">
        <f t="shared" si="16"/>
        <v>0</v>
      </c>
      <c r="G75" s="61">
        <f t="shared" si="16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293059</v>
      </c>
      <c r="Q7" s="18">
        <f>'Formato 5'!C13</f>
        <v>0</v>
      </c>
      <c r="R7" s="18">
        <f>'Formato 5'!D13</f>
        <v>293059</v>
      </c>
      <c r="S7" s="18">
        <f>'Formato 5'!E13</f>
        <v>136942.04</v>
      </c>
      <c r="T7" s="18">
        <f>'Formato 5'!F13</f>
        <v>136942.04</v>
      </c>
      <c r="U7" s="18">
        <f>'Formato 5'!G13</f>
        <v>-156116.96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12352790</v>
      </c>
      <c r="Q9" s="18">
        <f>'Formato 5'!C15</f>
        <v>111210</v>
      </c>
      <c r="R9" s="18">
        <f>'Formato 5'!D15</f>
        <v>12464000</v>
      </c>
      <c r="S9" s="18">
        <f>'Formato 5'!E15</f>
        <v>359339.5</v>
      </c>
      <c r="T9" s="18">
        <f>'Formato 5'!F15</f>
        <v>190499.5</v>
      </c>
      <c r="U9" s="18">
        <f>'Formato 5'!G15</f>
        <v>-12162290.5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5000000</v>
      </c>
      <c r="R28" s="18">
        <f>'Formato 5'!D34</f>
        <v>5000000</v>
      </c>
      <c r="S28" s="18">
        <f>'Formato 5'!E34</f>
        <v>5000000</v>
      </c>
      <c r="T28" s="18">
        <f>'Formato 5'!F34</f>
        <v>5000000</v>
      </c>
      <c r="U28" s="18">
        <f>'Formato 5'!G34</f>
        <v>5000000</v>
      </c>
    </row>
    <row r="29" spans="1:21" ht="14.25" x14ac:dyDescent="0.4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ht="14.25" x14ac:dyDescent="0.4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ht="14.25" x14ac:dyDescent="0.4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12645849</v>
      </c>
      <c r="Q34">
        <f>'Formato 5'!C41</f>
        <v>5111210</v>
      </c>
      <c r="R34">
        <f>'Formato 5'!D41</f>
        <v>17757059</v>
      </c>
      <c r="S34">
        <f>'Formato 5'!E41</f>
        <v>5496281.54</v>
      </c>
      <c r="T34">
        <f>'Formato 5'!F41</f>
        <v>5327441.54</v>
      </c>
      <c r="U34">
        <f>'Formato 5'!G41</f>
        <v>-7318407.4600000009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ht="14.25" x14ac:dyDescent="0.4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7442550.7699999996</v>
      </c>
      <c r="R57">
        <f>'Formato 5'!D67</f>
        <v>7442550.7699999996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7442550.7699999996</v>
      </c>
      <c r="R58">
        <f>'Formato 5'!D68</f>
        <v>7442550.7699999996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7442550.7699999996</v>
      </c>
      <c r="R60">
        <f>'Formato 5'!D73</f>
        <v>7442550.7699999996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7442550.7699999996</v>
      </c>
      <c r="R62">
        <f>'Formato 5'!D75</f>
        <v>7442550.7699999996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topLeftCell="A135" zoomScale="120" zoomScaleNormal="120" zoomScalePageLayoutView="90" workbookViewId="0">
      <selection activeCell="B151" sqref="B151:F157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3285</v>
      </c>
      <c r="B1" s="171"/>
      <c r="C1" s="171"/>
      <c r="D1" s="171"/>
      <c r="E1" s="171"/>
      <c r="F1" s="171"/>
      <c r="G1" s="171"/>
    </row>
    <row r="2" spans="1:7" ht="14.25" x14ac:dyDescent="0.45">
      <c r="A2" s="175" t="str">
        <f>ENTE_PUBLICO_A</f>
        <v>Instituto Municipal de Vivienda de San Miguel de Allende, Gto.,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25" x14ac:dyDescent="0.45">
      <c r="A5" s="177" t="str">
        <f>TRIMESTRE</f>
        <v>Del 1 de enero al 30 de marzo de 2021 (b)</v>
      </c>
      <c r="B5" s="177"/>
      <c r="C5" s="177"/>
      <c r="D5" s="177"/>
      <c r="E5" s="177"/>
      <c r="F5" s="177"/>
      <c r="G5" s="177"/>
    </row>
    <row r="6" spans="1:7" ht="14.25" x14ac:dyDescent="0.4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25" x14ac:dyDescent="0.45">
      <c r="A9" s="82" t="s">
        <v>285</v>
      </c>
      <c r="B9" s="79">
        <f>SUM(B10,B18,B28,B38,B48,B58,B62,B71,B75)</f>
        <v>12645849</v>
      </c>
      <c r="C9" s="79">
        <f t="shared" ref="C9:G9" si="0">SUM(C10,C18,C28,C38,C48,C58,C62,C71,C75)</f>
        <v>12553760.77</v>
      </c>
      <c r="D9" s="79">
        <f t="shared" si="0"/>
        <v>25199609.77</v>
      </c>
      <c r="E9" s="79">
        <f t="shared" si="0"/>
        <v>5826575.2699999996</v>
      </c>
      <c r="F9" s="79">
        <f t="shared" si="0"/>
        <v>5820343.6499999994</v>
      </c>
      <c r="G9" s="79">
        <f t="shared" si="0"/>
        <v>19373034.5</v>
      </c>
    </row>
    <row r="10" spans="1:7" ht="14.25" x14ac:dyDescent="0.45">
      <c r="A10" s="83" t="s">
        <v>286</v>
      </c>
      <c r="B10" s="80">
        <f>SUM(B11:B17)</f>
        <v>925179</v>
      </c>
      <c r="C10" s="80">
        <f t="shared" ref="C10:F10" si="1">SUM(C11:C17)</f>
        <v>2450190.3699999996</v>
      </c>
      <c r="D10" s="80">
        <f t="shared" si="1"/>
        <v>3375369.3699999996</v>
      </c>
      <c r="E10" s="80">
        <f t="shared" si="1"/>
        <v>540823.38</v>
      </c>
      <c r="F10" s="80">
        <f t="shared" si="1"/>
        <v>540823.38</v>
      </c>
      <c r="G10" s="80">
        <f>SUM(G11:G17)</f>
        <v>2834545.9899999998</v>
      </c>
    </row>
    <row r="11" spans="1:7" x14ac:dyDescent="0.25">
      <c r="A11" s="84" t="s">
        <v>287</v>
      </c>
      <c r="B11" s="80">
        <v>86549</v>
      </c>
      <c r="C11" s="80">
        <v>2163705.7599999998</v>
      </c>
      <c r="D11" s="80">
        <v>2250254.7599999998</v>
      </c>
      <c r="E11" s="80">
        <v>517865.07</v>
      </c>
      <c r="F11" s="80">
        <v>517865.07</v>
      </c>
      <c r="G11" s="80">
        <f>D11-E11</f>
        <v>1732389.6899999997</v>
      </c>
    </row>
    <row r="12" spans="1:7" x14ac:dyDescent="0.25">
      <c r="A12" s="84" t="s">
        <v>288</v>
      </c>
      <c r="B12" s="80">
        <v>7727</v>
      </c>
      <c r="C12" s="80">
        <v>13797.61</v>
      </c>
      <c r="D12" s="80">
        <v>21524.61</v>
      </c>
      <c r="E12" s="80">
        <v>3302.31</v>
      </c>
      <c r="F12" s="80">
        <v>3302.31</v>
      </c>
      <c r="G12" s="80">
        <f>D12-E12</f>
        <v>18222.3</v>
      </c>
    </row>
    <row r="13" spans="1:7" x14ac:dyDescent="0.25">
      <c r="A13" s="84" t="s">
        <v>289</v>
      </c>
      <c r="B13" s="80">
        <v>10909</v>
      </c>
      <c r="C13" s="80">
        <v>272687</v>
      </c>
      <c r="D13" s="80">
        <v>283596</v>
      </c>
      <c r="E13" s="80">
        <v>0</v>
      </c>
      <c r="F13" s="80">
        <v>0</v>
      </c>
      <c r="G13" s="80">
        <f t="shared" ref="G13:G17" si="2">D13-E13</f>
        <v>283596</v>
      </c>
    </row>
    <row r="14" spans="1:7" x14ac:dyDescent="0.25">
      <c r="A14" s="84" t="s">
        <v>290</v>
      </c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f t="shared" si="2"/>
        <v>0</v>
      </c>
    </row>
    <row r="15" spans="1:7" x14ac:dyDescent="0.25">
      <c r="A15" s="84" t="s">
        <v>291</v>
      </c>
      <c r="B15" s="80">
        <v>819994</v>
      </c>
      <c r="C15" s="80">
        <v>0</v>
      </c>
      <c r="D15" s="80">
        <v>819994</v>
      </c>
      <c r="E15" s="80">
        <v>19656</v>
      </c>
      <c r="F15" s="80">
        <v>19656</v>
      </c>
      <c r="G15" s="80">
        <f t="shared" si="2"/>
        <v>800338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f t="shared" si="2"/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f t="shared" si="2"/>
        <v>0</v>
      </c>
    </row>
    <row r="18" spans="1:7" ht="14.25" x14ac:dyDescent="0.45">
      <c r="A18" s="83" t="s">
        <v>294</v>
      </c>
      <c r="B18" s="80">
        <f>SUM(B19:B27)</f>
        <v>372000</v>
      </c>
      <c r="C18" s="80">
        <f t="shared" ref="C18:F18" si="3">SUM(C19:C27)</f>
        <v>57500</v>
      </c>
      <c r="D18" s="80">
        <f t="shared" si="3"/>
        <v>429500</v>
      </c>
      <c r="E18" s="80">
        <f t="shared" si="3"/>
        <v>77070.92</v>
      </c>
      <c r="F18" s="80">
        <f t="shared" si="3"/>
        <v>73639.3</v>
      </c>
      <c r="G18" s="80">
        <f>SUM(G19:G27)</f>
        <v>352429.08</v>
      </c>
    </row>
    <row r="19" spans="1:7" x14ac:dyDescent="0.25">
      <c r="A19" s="84" t="s">
        <v>295</v>
      </c>
      <c r="B19" s="80">
        <v>81000</v>
      </c>
      <c r="C19" s="80">
        <v>5000</v>
      </c>
      <c r="D19" s="80">
        <v>86000</v>
      </c>
      <c r="E19" s="80">
        <v>5142.7299999999996</v>
      </c>
      <c r="F19" s="80">
        <v>5142.7299999999996</v>
      </c>
      <c r="G19" s="80">
        <f>D19-E19</f>
        <v>80857.27</v>
      </c>
    </row>
    <row r="20" spans="1:7" x14ac:dyDescent="0.25">
      <c r="A20" s="84" t="s">
        <v>296</v>
      </c>
      <c r="B20" s="80">
        <v>5000</v>
      </c>
      <c r="C20" s="80">
        <v>2500</v>
      </c>
      <c r="D20" s="80">
        <v>7500</v>
      </c>
      <c r="E20" s="80">
        <v>1026.5</v>
      </c>
      <c r="F20" s="80">
        <v>1026.5</v>
      </c>
      <c r="G20" s="80">
        <f t="shared" ref="G20:G27" si="4">D20-E20</f>
        <v>6473.5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f t="shared" si="4"/>
        <v>0</v>
      </c>
    </row>
    <row r="22" spans="1:7" x14ac:dyDescent="0.25">
      <c r="A22" s="84" t="s">
        <v>298</v>
      </c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80">
        <f t="shared" si="4"/>
        <v>0</v>
      </c>
    </row>
    <row r="23" spans="1:7" x14ac:dyDescent="0.25">
      <c r="A23" s="84" t="s">
        <v>299</v>
      </c>
      <c r="B23" s="80">
        <v>170000</v>
      </c>
      <c r="C23" s="80">
        <v>30000</v>
      </c>
      <c r="D23" s="80">
        <v>200000</v>
      </c>
      <c r="E23" s="80">
        <v>50514.32</v>
      </c>
      <c r="F23" s="80">
        <v>49366.32</v>
      </c>
      <c r="G23" s="80">
        <f t="shared" si="4"/>
        <v>149485.68</v>
      </c>
    </row>
    <row r="24" spans="1:7" x14ac:dyDescent="0.25">
      <c r="A24" s="84" t="s">
        <v>300</v>
      </c>
      <c r="B24" s="80">
        <v>80000</v>
      </c>
      <c r="C24" s="80">
        <v>20000</v>
      </c>
      <c r="D24" s="80">
        <v>100000</v>
      </c>
      <c r="E24" s="80">
        <v>20306.169999999998</v>
      </c>
      <c r="F24" s="80">
        <v>18022.55</v>
      </c>
      <c r="G24" s="80">
        <f t="shared" si="4"/>
        <v>79693.83</v>
      </c>
    </row>
    <row r="25" spans="1:7" x14ac:dyDescent="0.25">
      <c r="A25" s="84" t="s">
        <v>301</v>
      </c>
      <c r="B25" s="80">
        <v>20000</v>
      </c>
      <c r="C25" s="80">
        <v>0</v>
      </c>
      <c r="D25" s="80">
        <v>20000</v>
      </c>
      <c r="E25" s="80">
        <v>0</v>
      </c>
      <c r="F25" s="80">
        <v>0</v>
      </c>
      <c r="G25" s="80">
        <f t="shared" si="4"/>
        <v>20000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4"/>
        <v>0</v>
      </c>
    </row>
    <row r="27" spans="1:7" x14ac:dyDescent="0.25">
      <c r="A27" s="84" t="s">
        <v>303</v>
      </c>
      <c r="B27" s="80">
        <v>16000</v>
      </c>
      <c r="C27" s="80">
        <v>0</v>
      </c>
      <c r="D27" s="80">
        <v>16000</v>
      </c>
      <c r="E27" s="80">
        <v>81.2</v>
      </c>
      <c r="F27" s="80">
        <v>81.2</v>
      </c>
      <c r="G27" s="80">
        <f t="shared" si="4"/>
        <v>15918.8</v>
      </c>
    </row>
    <row r="28" spans="1:7" x14ac:dyDescent="0.25">
      <c r="A28" s="83" t="s">
        <v>304</v>
      </c>
      <c r="B28" s="80">
        <f>SUM(B29:B37)</f>
        <v>865883.37</v>
      </c>
      <c r="C28" s="80">
        <f t="shared" ref="C28:G28" si="5">SUM(C29:C37)</f>
        <v>5273198.63</v>
      </c>
      <c r="D28" s="80">
        <f t="shared" si="5"/>
        <v>6139082</v>
      </c>
      <c r="E28" s="80">
        <f t="shared" si="5"/>
        <v>5208680.97</v>
      </c>
      <c r="F28" s="80">
        <f t="shared" si="5"/>
        <v>5205880.97</v>
      </c>
      <c r="G28" s="80">
        <f t="shared" si="5"/>
        <v>930401.03000000049</v>
      </c>
    </row>
    <row r="29" spans="1:7" x14ac:dyDescent="0.25">
      <c r="A29" s="84" t="s">
        <v>305</v>
      </c>
      <c r="B29" s="80">
        <v>24000</v>
      </c>
      <c r="C29" s="80">
        <v>19000</v>
      </c>
      <c r="D29" s="80">
        <v>43000</v>
      </c>
      <c r="E29" s="80">
        <v>7201</v>
      </c>
      <c r="F29" s="80">
        <v>7201</v>
      </c>
      <c r="G29" s="80">
        <f>D29-E29</f>
        <v>35799</v>
      </c>
    </row>
    <row r="30" spans="1:7" x14ac:dyDescent="0.25">
      <c r="A30" s="84" t="s">
        <v>306</v>
      </c>
      <c r="B30" s="80">
        <v>60000</v>
      </c>
      <c r="C30" s="80">
        <v>0</v>
      </c>
      <c r="D30" s="80">
        <v>60000</v>
      </c>
      <c r="E30" s="80">
        <v>11209.08</v>
      </c>
      <c r="F30" s="80">
        <v>11209.08</v>
      </c>
      <c r="G30" s="80">
        <f t="shared" ref="G30:G37" si="6">D30-E30</f>
        <v>48790.92</v>
      </c>
    </row>
    <row r="31" spans="1:7" x14ac:dyDescent="0.25">
      <c r="A31" s="84" t="s">
        <v>307</v>
      </c>
      <c r="B31" s="80">
        <v>443301.37</v>
      </c>
      <c r="C31" s="80">
        <v>209198.63</v>
      </c>
      <c r="D31" s="80">
        <v>652500</v>
      </c>
      <c r="E31" s="80">
        <v>147800.82999999999</v>
      </c>
      <c r="F31" s="80">
        <v>145000.82999999999</v>
      </c>
      <c r="G31" s="80">
        <f t="shared" si="6"/>
        <v>504699.17000000004</v>
      </c>
    </row>
    <row r="32" spans="1:7" x14ac:dyDescent="0.25">
      <c r="A32" s="84" t="s">
        <v>308</v>
      </c>
      <c r="B32" s="80">
        <v>120000</v>
      </c>
      <c r="C32" s="80">
        <v>20000</v>
      </c>
      <c r="D32" s="80">
        <v>140000</v>
      </c>
      <c r="E32" s="80">
        <v>30950.69</v>
      </c>
      <c r="F32" s="80">
        <v>30950.69</v>
      </c>
      <c r="G32" s="80">
        <f t="shared" si="6"/>
        <v>109049.31</v>
      </c>
    </row>
    <row r="33" spans="1:7" x14ac:dyDescent="0.25">
      <c r="A33" s="84" t="s">
        <v>309</v>
      </c>
      <c r="B33" s="80">
        <v>79000</v>
      </c>
      <c r="C33" s="80">
        <v>0</v>
      </c>
      <c r="D33" s="80">
        <v>79000</v>
      </c>
      <c r="E33" s="80">
        <v>870</v>
      </c>
      <c r="F33" s="80">
        <v>870</v>
      </c>
      <c r="G33" s="80">
        <f t="shared" si="6"/>
        <v>78130</v>
      </c>
    </row>
    <row r="34" spans="1:7" x14ac:dyDescent="0.25">
      <c r="A34" s="84" t="s">
        <v>310</v>
      </c>
      <c r="B34" s="80">
        <v>10000</v>
      </c>
      <c r="C34" s="80">
        <v>0</v>
      </c>
      <c r="D34" s="80">
        <v>10000</v>
      </c>
      <c r="E34" s="80">
        <v>0</v>
      </c>
      <c r="F34" s="80">
        <v>0</v>
      </c>
      <c r="G34" s="80">
        <f t="shared" si="6"/>
        <v>10000</v>
      </c>
    </row>
    <row r="35" spans="1:7" x14ac:dyDescent="0.25">
      <c r="A35" s="84" t="s">
        <v>311</v>
      </c>
      <c r="B35" s="80">
        <v>6000</v>
      </c>
      <c r="C35" s="80">
        <v>0</v>
      </c>
      <c r="D35" s="80">
        <v>6000</v>
      </c>
      <c r="E35" s="80">
        <v>710</v>
      </c>
      <c r="F35" s="80">
        <v>710</v>
      </c>
      <c r="G35" s="80">
        <f t="shared" si="6"/>
        <v>5290</v>
      </c>
    </row>
    <row r="36" spans="1:7" x14ac:dyDescent="0.25">
      <c r="A36" s="84" t="s">
        <v>312</v>
      </c>
      <c r="B36" s="80">
        <v>45000</v>
      </c>
      <c r="C36" s="80">
        <v>5000</v>
      </c>
      <c r="D36" s="80">
        <v>50000</v>
      </c>
      <c r="E36" s="80">
        <v>3432.52</v>
      </c>
      <c r="F36" s="80">
        <v>3432.52</v>
      </c>
      <c r="G36" s="80">
        <f t="shared" si="6"/>
        <v>46567.48</v>
      </c>
    </row>
    <row r="37" spans="1:7" x14ac:dyDescent="0.25">
      <c r="A37" s="84" t="s">
        <v>313</v>
      </c>
      <c r="B37" s="80">
        <v>78582</v>
      </c>
      <c r="C37" s="80">
        <v>5020000</v>
      </c>
      <c r="D37" s="80">
        <v>5098582</v>
      </c>
      <c r="E37" s="80">
        <v>5006506.8499999996</v>
      </c>
      <c r="F37" s="80">
        <v>5006506.8499999996</v>
      </c>
      <c r="G37" s="80">
        <f t="shared" si="6"/>
        <v>92075.150000000373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7">SUM(C39:C47)</f>
        <v>0</v>
      </c>
      <c r="D38" s="80">
        <f t="shared" si="7"/>
        <v>0</v>
      </c>
      <c r="E38" s="80">
        <f t="shared" si="7"/>
        <v>0</v>
      </c>
      <c r="F38" s="80">
        <f t="shared" si="7"/>
        <v>0</v>
      </c>
      <c r="G38" s="80">
        <f t="shared" si="7"/>
        <v>0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f t="shared" ref="G40:G47" si="8">D40-E40</f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f t="shared" si="8"/>
        <v>0</v>
      </c>
    </row>
    <row r="42" spans="1:7" x14ac:dyDescent="0.25">
      <c r="A42" s="84" t="s">
        <v>318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f t="shared" si="8"/>
        <v>0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f t="shared" si="8"/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8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8"/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f t="shared" si="8"/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8"/>
        <v>0</v>
      </c>
    </row>
    <row r="48" spans="1:7" x14ac:dyDescent="0.25">
      <c r="A48" s="83" t="s">
        <v>324</v>
      </c>
      <c r="B48" s="80">
        <f>SUM(B49:B57)</f>
        <v>0</v>
      </c>
      <c r="C48" s="80">
        <f t="shared" ref="C48:G48" si="9">SUM(C49:C57)</f>
        <v>3340000</v>
      </c>
      <c r="D48" s="80">
        <f t="shared" si="9"/>
        <v>3340000</v>
      </c>
      <c r="E48" s="80">
        <f t="shared" si="9"/>
        <v>0</v>
      </c>
      <c r="F48" s="80">
        <f t="shared" si="9"/>
        <v>0</v>
      </c>
      <c r="G48" s="80">
        <f t="shared" si="9"/>
        <v>3340000</v>
      </c>
    </row>
    <row r="49" spans="1:7" x14ac:dyDescent="0.25">
      <c r="A49" s="84" t="s">
        <v>325</v>
      </c>
      <c r="B49" s="80">
        <v>0</v>
      </c>
      <c r="C49" s="80">
        <v>55000</v>
      </c>
      <c r="D49" s="80">
        <v>55000</v>
      </c>
      <c r="E49" s="80">
        <v>0</v>
      </c>
      <c r="F49" s="80">
        <v>0</v>
      </c>
      <c r="G49" s="80">
        <f>D49-E49</f>
        <v>55000</v>
      </c>
    </row>
    <row r="50" spans="1:7" x14ac:dyDescent="0.25">
      <c r="A50" s="84" t="s">
        <v>326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80">
        <f t="shared" ref="G50:G57" si="10">D50-E50</f>
        <v>0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f t="shared" si="10"/>
        <v>0</v>
      </c>
    </row>
    <row r="52" spans="1:7" x14ac:dyDescent="0.25">
      <c r="A52" s="84" t="s">
        <v>328</v>
      </c>
      <c r="B52" s="80">
        <v>0</v>
      </c>
      <c r="C52" s="80">
        <v>285000</v>
      </c>
      <c r="D52" s="80">
        <v>285000</v>
      </c>
      <c r="E52" s="80">
        <v>0</v>
      </c>
      <c r="F52" s="80">
        <v>0</v>
      </c>
      <c r="G52" s="80">
        <f t="shared" si="10"/>
        <v>285000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10"/>
        <v>0</v>
      </c>
    </row>
    <row r="54" spans="1:7" x14ac:dyDescent="0.25">
      <c r="A54" s="84" t="s">
        <v>330</v>
      </c>
      <c r="B54" s="80">
        <v>0</v>
      </c>
      <c r="C54" s="80">
        <v>0</v>
      </c>
      <c r="D54" s="80">
        <v>0</v>
      </c>
      <c r="E54" s="80">
        <v>0</v>
      </c>
      <c r="F54" s="80">
        <v>0</v>
      </c>
      <c r="G54" s="80">
        <f t="shared" si="10"/>
        <v>0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f t="shared" si="10"/>
        <v>0</v>
      </c>
    </row>
    <row r="56" spans="1:7" x14ac:dyDescent="0.25">
      <c r="A56" s="84" t="s">
        <v>332</v>
      </c>
      <c r="B56" s="80">
        <v>0</v>
      </c>
      <c r="C56" s="80">
        <v>3000000</v>
      </c>
      <c r="D56" s="80">
        <v>3000000</v>
      </c>
      <c r="E56" s="80">
        <v>0</v>
      </c>
      <c r="F56" s="80">
        <v>0</v>
      </c>
      <c r="G56" s="80">
        <f t="shared" si="10"/>
        <v>3000000</v>
      </c>
    </row>
    <row r="57" spans="1:7" x14ac:dyDescent="0.25">
      <c r="A57" s="84" t="s">
        <v>333</v>
      </c>
      <c r="B57" s="80">
        <v>0</v>
      </c>
      <c r="C57" s="80">
        <v>0</v>
      </c>
      <c r="D57" s="80">
        <v>0</v>
      </c>
      <c r="E57" s="80">
        <v>0</v>
      </c>
      <c r="F57" s="80">
        <v>0</v>
      </c>
      <c r="G57" s="80">
        <f t="shared" si="10"/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1">SUM(C59:C61)</f>
        <v>0</v>
      </c>
      <c r="D58" s="80">
        <f t="shared" si="11"/>
        <v>0</v>
      </c>
      <c r="E58" s="80">
        <f t="shared" si="11"/>
        <v>0</v>
      </c>
      <c r="F58" s="80">
        <f t="shared" si="11"/>
        <v>0</v>
      </c>
      <c r="G58" s="80">
        <f t="shared" si="11"/>
        <v>0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f>D59-E59</f>
        <v>0</v>
      </c>
    </row>
    <row r="60" spans="1:7" x14ac:dyDescent="0.25">
      <c r="A60" s="84" t="s">
        <v>336</v>
      </c>
      <c r="B60" s="80">
        <v>0</v>
      </c>
      <c r="C60" s="80">
        <v>0</v>
      </c>
      <c r="D60" s="80">
        <v>0</v>
      </c>
      <c r="E60" s="80">
        <v>0</v>
      </c>
      <c r="F60" s="80">
        <v>0</v>
      </c>
      <c r="G60" s="80">
        <f t="shared" ref="G60:G61" si="12">D60-E60</f>
        <v>0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10482786.630000001</v>
      </c>
      <c r="C62" s="80">
        <f t="shared" ref="C62:G62" si="13">SUM(C63:C67,C69:C70)</f>
        <v>1432871.77</v>
      </c>
      <c r="D62" s="80">
        <f t="shared" si="13"/>
        <v>11915658.4</v>
      </c>
      <c r="E62" s="80">
        <f t="shared" si="13"/>
        <v>0</v>
      </c>
      <c r="F62" s="80">
        <f t="shared" si="13"/>
        <v>0</v>
      </c>
      <c r="G62" s="80">
        <f t="shared" si="13"/>
        <v>11915658.4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4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4"/>
        <v>0</v>
      </c>
    </row>
    <row r="66" spans="1:7" x14ac:dyDescent="0.25">
      <c r="A66" s="84" t="s">
        <v>342</v>
      </c>
      <c r="B66" s="80">
        <v>0</v>
      </c>
      <c r="C66" s="80">
        <v>1000000</v>
      </c>
      <c r="D66" s="80">
        <v>1000000</v>
      </c>
      <c r="E66" s="80">
        <v>0</v>
      </c>
      <c r="F66" s="80">
        <v>0</v>
      </c>
      <c r="G66" s="80">
        <f t="shared" si="14"/>
        <v>1000000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4"/>
        <v>0</v>
      </c>
    </row>
    <row r="68" spans="1:7" x14ac:dyDescent="0.25">
      <c r="A68" s="84" t="s">
        <v>3301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4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4"/>
        <v>0</v>
      </c>
    </row>
    <row r="70" spans="1:7" x14ac:dyDescent="0.25">
      <c r="A70" s="84" t="s">
        <v>346</v>
      </c>
      <c r="B70" s="80">
        <v>10482786.630000001</v>
      </c>
      <c r="C70" s="80">
        <v>432871.77</v>
      </c>
      <c r="D70" s="80">
        <v>10915658.4</v>
      </c>
      <c r="E70" s="80">
        <v>0</v>
      </c>
      <c r="F70" s="80">
        <v>0</v>
      </c>
      <c r="G70" s="80">
        <f t="shared" si="14"/>
        <v>10915658.4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 t="shared" ref="G73:G74" si="16">D73-E73</f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f t="shared" si="16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0</v>
      </c>
      <c r="D75" s="80">
        <f t="shared" si="17"/>
        <v>0</v>
      </c>
      <c r="E75" s="80">
        <f t="shared" si="17"/>
        <v>0</v>
      </c>
      <c r="F75" s="80">
        <f t="shared" si="17"/>
        <v>0</v>
      </c>
      <c r="G75" s="80">
        <f t="shared" si="17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18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8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8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8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8"/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9">SUM(C85,C93,C103,C113,C123,C133,C137,C146,C150)</f>
        <v>0</v>
      </c>
      <c r="D84" s="79">
        <f t="shared" si="19"/>
        <v>0</v>
      </c>
      <c r="E84" s="79">
        <f t="shared" si="19"/>
        <v>0</v>
      </c>
      <c r="F84" s="79">
        <f t="shared" si="19"/>
        <v>0</v>
      </c>
      <c r="G84" s="79">
        <f t="shared" si="19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0">SUM(C86:C92)</f>
        <v>0</v>
      </c>
      <c r="D85" s="80">
        <f t="shared" si="20"/>
        <v>0</v>
      </c>
      <c r="E85" s="80">
        <f t="shared" si="20"/>
        <v>0</v>
      </c>
      <c r="F85" s="80">
        <f t="shared" si="20"/>
        <v>0</v>
      </c>
      <c r="G85" s="80">
        <f t="shared" si="20"/>
        <v>0</v>
      </c>
    </row>
    <row r="86" spans="1:7" x14ac:dyDescent="0.25">
      <c r="A86" s="84" t="s">
        <v>287</v>
      </c>
      <c r="B86" s="80">
        <v>0</v>
      </c>
      <c r="C86" s="80">
        <v>0</v>
      </c>
      <c r="D86" s="80">
        <v>0</v>
      </c>
      <c r="E86" s="80">
        <v>0</v>
      </c>
      <c r="F86" s="80">
        <v>0</v>
      </c>
      <c r="G86" s="80">
        <f>D86-E86</f>
        <v>0</v>
      </c>
    </row>
    <row r="87" spans="1:7" x14ac:dyDescent="0.25">
      <c r="A87" s="84" t="s">
        <v>288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f t="shared" ref="G87:G92" si="21">D87-E87</f>
        <v>0</v>
      </c>
    </row>
    <row r="88" spans="1:7" x14ac:dyDescent="0.25">
      <c r="A88" s="84" t="s">
        <v>289</v>
      </c>
      <c r="B88" s="80">
        <v>0</v>
      </c>
      <c r="C88" s="80">
        <v>0</v>
      </c>
      <c r="D88" s="80">
        <v>0</v>
      </c>
      <c r="E88" s="80">
        <v>0</v>
      </c>
      <c r="F88" s="80">
        <v>0</v>
      </c>
      <c r="G88" s="80">
        <f t="shared" si="21"/>
        <v>0</v>
      </c>
    </row>
    <row r="89" spans="1:7" x14ac:dyDescent="0.25">
      <c r="A89" s="84" t="s">
        <v>290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f t="shared" si="21"/>
        <v>0</v>
      </c>
    </row>
    <row r="90" spans="1:7" x14ac:dyDescent="0.25">
      <c r="A90" s="84" t="s">
        <v>291</v>
      </c>
      <c r="B90" s="80">
        <v>0</v>
      </c>
      <c r="C90" s="80">
        <v>0</v>
      </c>
      <c r="D90" s="80">
        <v>0</v>
      </c>
      <c r="E90" s="80">
        <v>0</v>
      </c>
      <c r="F90" s="80">
        <v>0</v>
      </c>
      <c r="G90" s="80">
        <f t="shared" si="21"/>
        <v>0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21"/>
        <v>0</v>
      </c>
    </row>
    <row r="92" spans="1:7" x14ac:dyDescent="0.25">
      <c r="A92" s="84" t="s">
        <v>293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f t="shared" si="21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2">SUM(C94:C102)</f>
        <v>0</v>
      </c>
      <c r="D93" s="80">
        <f t="shared" si="22"/>
        <v>0</v>
      </c>
      <c r="E93" s="80">
        <f t="shared" si="22"/>
        <v>0</v>
      </c>
      <c r="F93" s="80">
        <f t="shared" si="22"/>
        <v>0</v>
      </c>
      <c r="G93" s="80">
        <f t="shared" si="22"/>
        <v>0</v>
      </c>
    </row>
    <row r="94" spans="1:7" x14ac:dyDescent="0.25">
      <c r="A94" s="84" t="s">
        <v>295</v>
      </c>
      <c r="B94" s="80">
        <v>0</v>
      </c>
      <c r="C94" s="80">
        <v>0</v>
      </c>
      <c r="D94" s="80">
        <v>0</v>
      </c>
      <c r="E94" s="80">
        <v>0</v>
      </c>
      <c r="F94" s="80">
        <v>0</v>
      </c>
      <c r="G94" s="80">
        <f>D94-E94</f>
        <v>0</v>
      </c>
    </row>
    <row r="95" spans="1:7" x14ac:dyDescent="0.25">
      <c r="A95" s="84" t="s">
        <v>296</v>
      </c>
      <c r="B95" s="80">
        <v>0</v>
      </c>
      <c r="C95" s="80">
        <v>0</v>
      </c>
      <c r="D95" s="80">
        <v>0</v>
      </c>
      <c r="E95" s="80">
        <v>0</v>
      </c>
      <c r="F95" s="80">
        <v>0</v>
      </c>
      <c r="G95" s="80">
        <f t="shared" ref="G95:G102" si="23">D95-E95</f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3"/>
        <v>0</v>
      </c>
    </row>
    <row r="97" spans="1:7" x14ac:dyDescent="0.25">
      <c r="A97" s="84" t="s">
        <v>298</v>
      </c>
      <c r="B97" s="80">
        <v>0</v>
      </c>
      <c r="C97" s="80">
        <v>0</v>
      </c>
      <c r="D97" s="80">
        <v>0</v>
      </c>
      <c r="E97" s="80">
        <v>0</v>
      </c>
      <c r="F97" s="80">
        <v>0</v>
      </c>
      <c r="G97" s="80">
        <f t="shared" si="23"/>
        <v>0</v>
      </c>
    </row>
    <row r="98" spans="1:7" x14ac:dyDescent="0.25">
      <c r="A98" s="42" t="s">
        <v>299</v>
      </c>
      <c r="B98" s="80">
        <v>0</v>
      </c>
      <c r="C98" s="80">
        <v>0</v>
      </c>
      <c r="D98" s="80">
        <v>0</v>
      </c>
      <c r="E98" s="80">
        <v>0</v>
      </c>
      <c r="F98" s="80">
        <v>0</v>
      </c>
      <c r="G98" s="80">
        <f t="shared" si="23"/>
        <v>0</v>
      </c>
    </row>
    <row r="99" spans="1:7" x14ac:dyDescent="0.25">
      <c r="A99" s="84" t="s">
        <v>300</v>
      </c>
      <c r="B99" s="80">
        <v>0</v>
      </c>
      <c r="C99" s="80">
        <v>0</v>
      </c>
      <c r="D99" s="80">
        <v>0</v>
      </c>
      <c r="E99" s="80">
        <v>0</v>
      </c>
      <c r="F99" s="80">
        <v>0</v>
      </c>
      <c r="G99" s="80">
        <f t="shared" si="23"/>
        <v>0</v>
      </c>
    </row>
    <row r="100" spans="1:7" x14ac:dyDescent="0.25">
      <c r="A100" s="84" t="s">
        <v>301</v>
      </c>
      <c r="B100" s="80">
        <v>0</v>
      </c>
      <c r="C100" s="80">
        <v>0</v>
      </c>
      <c r="D100" s="80">
        <v>0</v>
      </c>
      <c r="E100" s="80">
        <v>0</v>
      </c>
      <c r="F100" s="80">
        <v>0</v>
      </c>
      <c r="G100" s="80">
        <f t="shared" si="23"/>
        <v>0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3"/>
        <v>0</v>
      </c>
    </row>
    <row r="102" spans="1:7" x14ac:dyDescent="0.25">
      <c r="A102" s="84" t="s">
        <v>303</v>
      </c>
      <c r="B102" s="80">
        <v>0</v>
      </c>
      <c r="C102" s="80">
        <v>0</v>
      </c>
      <c r="D102" s="80">
        <v>0</v>
      </c>
      <c r="E102" s="80">
        <v>0</v>
      </c>
      <c r="F102" s="80">
        <v>0</v>
      </c>
      <c r="G102" s="80">
        <f t="shared" si="23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4">SUM(D104:D112)</f>
        <v>0</v>
      </c>
      <c r="E103" s="80">
        <f t="shared" si="24"/>
        <v>0</v>
      </c>
      <c r="F103" s="80">
        <f t="shared" si="24"/>
        <v>0</v>
      </c>
      <c r="G103" s="80">
        <f t="shared" si="24"/>
        <v>0</v>
      </c>
    </row>
    <row r="104" spans="1:7" x14ac:dyDescent="0.25">
      <c r="A104" s="84" t="s">
        <v>305</v>
      </c>
      <c r="B104" s="80">
        <v>0</v>
      </c>
      <c r="C104" s="80">
        <v>0</v>
      </c>
      <c r="D104" s="80">
        <v>0</v>
      </c>
      <c r="E104" s="80">
        <v>0</v>
      </c>
      <c r="F104" s="80">
        <v>0</v>
      </c>
      <c r="G104" s="80">
        <f>D104-E104</f>
        <v>0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ref="G105:G112" si="25">D105-E105</f>
        <v>0</v>
      </c>
    </row>
    <row r="106" spans="1:7" x14ac:dyDescent="0.25">
      <c r="A106" s="84" t="s">
        <v>307</v>
      </c>
      <c r="B106" s="80">
        <v>0</v>
      </c>
      <c r="C106" s="80">
        <v>0</v>
      </c>
      <c r="D106" s="80">
        <v>0</v>
      </c>
      <c r="E106" s="80">
        <v>0</v>
      </c>
      <c r="F106" s="80">
        <v>0</v>
      </c>
      <c r="G106" s="80">
        <f t="shared" si="25"/>
        <v>0</v>
      </c>
    </row>
    <row r="107" spans="1:7" x14ac:dyDescent="0.25">
      <c r="A107" s="84" t="s">
        <v>308</v>
      </c>
      <c r="B107" s="80">
        <v>0</v>
      </c>
      <c r="C107" s="80">
        <v>0</v>
      </c>
      <c r="D107" s="80">
        <v>0</v>
      </c>
      <c r="E107" s="80">
        <v>0</v>
      </c>
      <c r="F107" s="80">
        <v>0</v>
      </c>
      <c r="G107" s="80">
        <f t="shared" si="25"/>
        <v>0</v>
      </c>
    </row>
    <row r="108" spans="1:7" x14ac:dyDescent="0.25">
      <c r="A108" s="84" t="s">
        <v>309</v>
      </c>
      <c r="B108" s="80">
        <v>0</v>
      </c>
      <c r="C108" s="80">
        <v>0</v>
      </c>
      <c r="D108" s="80">
        <v>0</v>
      </c>
      <c r="E108" s="80">
        <v>0</v>
      </c>
      <c r="F108" s="80">
        <v>0</v>
      </c>
      <c r="G108" s="80">
        <f t="shared" si="25"/>
        <v>0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25"/>
        <v>0</v>
      </c>
    </row>
    <row r="110" spans="1:7" x14ac:dyDescent="0.25">
      <c r="A110" s="84" t="s">
        <v>311</v>
      </c>
      <c r="B110" s="80">
        <v>0</v>
      </c>
      <c r="C110" s="80">
        <v>0</v>
      </c>
      <c r="D110" s="80">
        <v>0</v>
      </c>
      <c r="E110" s="80">
        <v>0</v>
      </c>
      <c r="F110" s="80">
        <v>0</v>
      </c>
      <c r="G110" s="80">
        <f t="shared" si="25"/>
        <v>0</v>
      </c>
    </row>
    <row r="111" spans="1:7" x14ac:dyDescent="0.25">
      <c r="A111" s="84" t="s">
        <v>312</v>
      </c>
      <c r="B111" s="80">
        <v>0</v>
      </c>
      <c r="C111" s="80">
        <v>0</v>
      </c>
      <c r="D111" s="80">
        <v>0</v>
      </c>
      <c r="E111" s="80">
        <v>0</v>
      </c>
      <c r="F111" s="80">
        <v>0</v>
      </c>
      <c r="G111" s="80">
        <f t="shared" si="25"/>
        <v>0</v>
      </c>
    </row>
    <row r="112" spans="1:7" x14ac:dyDescent="0.25">
      <c r="A112" s="84" t="s">
        <v>313</v>
      </c>
      <c r="B112" s="80">
        <v>0</v>
      </c>
      <c r="C112" s="80">
        <v>0</v>
      </c>
      <c r="D112" s="80">
        <v>0</v>
      </c>
      <c r="E112" s="80">
        <v>0</v>
      </c>
      <c r="F112" s="80">
        <v>0</v>
      </c>
      <c r="G112" s="80">
        <f t="shared" si="25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6">SUM(C114:C122)</f>
        <v>0</v>
      </c>
      <c r="D113" s="80">
        <f t="shared" si="26"/>
        <v>0</v>
      </c>
      <c r="E113" s="80">
        <f t="shared" si="26"/>
        <v>0</v>
      </c>
      <c r="F113" s="80">
        <f t="shared" si="26"/>
        <v>0</v>
      </c>
      <c r="G113" s="80">
        <f t="shared" si="26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7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7"/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27"/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27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7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7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7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7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8">SUM(C124:C132)</f>
        <v>0</v>
      </c>
      <c r="D123" s="80">
        <f t="shared" si="28"/>
        <v>0</v>
      </c>
      <c r="E123" s="80">
        <f t="shared" si="28"/>
        <v>0</v>
      </c>
      <c r="F123" s="80">
        <f t="shared" si="28"/>
        <v>0</v>
      </c>
      <c r="G123" s="80">
        <f t="shared" si="28"/>
        <v>0</v>
      </c>
    </row>
    <row r="124" spans="1:7" x14ac:dyDescent="0.25">
      <c r="A124" s="84" t="s">
        <v>325</v>
      </c>
      <c r="B124" s="80">
        <v>0</v>
      </c>
      <c r="C124" s="80">
        <v>0</v>
      </c>
      <c r="D124" s="80">
        <v>0</v>
      </c>
      <c r="E124" s="80">
        <v>0</v>
      </c>
      <c r="F124" s="80">
        <v>0</v>
      </c>
      <c r="G124" s="80">
        <f>D124-E124</f>
        <v>0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f t="shared" ref="G125:G132" si="29">D125-E125</f>
        <v>0</v>
      </c>
    </row>
    <row r="126" spans="1:7" x14ac:dyDescent="0.25">
      <c r="A126" s="84" t="s">
        <v>327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f t="shared" si="29"/>
        <v>0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f t="shared" si="29"/>
        <v>0</v>
      </c>
    </row>
    <row r="128" spans="1:7" x14ac:dyDescent="0.25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f t="shared" si="29"/>
        <v>0</v>
      </c>
    </row>
    <row r="129" spans="1:7" x14ac:dyDescent="0.25">
      <c r="A129" s="84" t="s">
        <v>330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f t="shared" si="29"/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29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29"/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f t="shared" si="29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0">SUM(C134:C136)</f>
        <v>0</v>
      </c>
      <c r="D133" s="80">
        <f t="shared" si="30"/>
        <v>0</v>
      </c>
      <c r="E133" s="80">
        <f t="shared" si="30"/>
        <v>0</v>
      </c>
      <c r="F133" s="80">
        <f t="shared" si="30"/>
        <v>0</v>
      </c>
      <c r="G133" s="80">
        <f t="shared" si="30"/>
        <v>0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f t="shared" ref="G135:G136" si="31">D135-E135</f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31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2">SUM(C138:C142,C144:C145)</f>
        <v>0</v>
      </c>
      <c r="D137" s="80">
        <f t="shared" si="32"/>
        <v>0</v>
      </c>
      <c r="E137" s="80">
        <f t="shared" si="32"/>
        <v>0</v>
      </c>
      <c r="F137" s="80">
        <f t="shared" si="32"/>
        <v>0</v>
      </c>
      <c r="G137" s="80">
        <f t="shared" si="32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33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33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33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33"/>
        <v>0</v>
      </c>
    </row>
    <row r="143" spans="1:7" x14ac:dyDescent="0.25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33"/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33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33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4">SUM(C147:C149)</f>
        <v>0</v>
      </c>
      <c r="D146" s="80">
        <f t="shared" si="34"/>
        <v>0</v>
      </c>
      <c r="E146" s="80">
        <f t="shared" si="34"/>
        <v>0</v>
      </c>
      <c r="F146" s="80">
        <f t="shared" si="34"/>
        <v>0</v>
      </c>
      <c r="G146" s="80">
        <f t="shared" si="34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ref="G148:G149" si="35"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 t="shared" si="35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6">SUM(C151:C157)</f>
        <v>0</v>
      </c>
      <c r="D150" s="80">
        <f t="shared" si="36"/>
        <v>0</v>
      </c>
      <c r="E150" s="80">
        <f t="shared" si="36"/>
        <v>0</v>
      </c>
      <c r="F150" s="80">
        <f t="shared" si="36"/>
        <v>0</v>
      </c>
      <c r="G150" s="80">
        <f t="shared" si="36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7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7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7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7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7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7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12645849</v>
      </c>
      <c r="C159" s="79">
        <f t="shared" ref="C159:G159" si="38">C9+C84</f>
        <v>12553760.77</v>
      </c>
      <c r="D159" s="79">
        <f t="shared" si="38"/>
        <v>25199609.77</v>
      </c>
      <c r="E159" s="79">
        <f t="shared" si="38"/>
        <v>5826575.2699999996</v>
      </c>
      <c r="F159" s="79">
        <f t="shared" si="38"/>
        <v>5820343.6499999994</v>
      </c>
      <c r="G159" s="79">
        <f t="shared" si="38"/>
        <v>19373034.5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12645849</v>
      </c>
      <c r="Q2" s="18">
        <f>'Formato 6 a)'!C9</f>
        <v>12553760.77</v>
      </c>
      <c r="R2" s="18">
        <f>'Formato 6 a)'!D9</f>
        <v>25199609.77</v>
      </c>
      <c r="S2" s="18">
        <f>'Formato 6 a)'!E9</f>
        <v>5826575.2699999996</v>
      </c>
      <c r="T2" s="18">
        <f>'Formato 6 a)'!F9</f>
        <v>5820343.6499999994</v>
      </c>
      <c r="U2" s="18">
        <f>'Formato 6 a)'!G9</f>
        <v>19373034.5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925179</v>
      </c>
      <c r="Q3" s="18">
        <f>'Formato 6 a)'!C10</f>
        <v>2450190.3699999996</v>
      </c>
      <c r="R3" s="18">
        <f>'Formato 6 a)'!D10</f>
        <v>3375369.3699999996</v>
      </c>
      <c r="S3" s="18">
        <f>'Formato 6 a)'!E10</f>
        <v>540823.38</v>
      </c>
      <c r="T3" s="18">
        <f>'Formato 6 a)'!F10</f>
        <v>540823.38</v>
      </c>
      <c r="U3" s="18">
        <f>'Formato 6 a)'!G10</f>
        <v>2834545.9899999998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86549</v>
      </c>
      <c r="Q4" s="18">
        <f>'Formato 6 a)'!C11</f>
        <v>2163705.7599999998</v>
      </c>
      <c r="R4" s="18">
        <f>'Formato 6 a)'!D11</f>
        <v>2250254.7599999998</v>
      </c>
      <c r="S4" s="18">
        <f>'Formato 6 a)'!E11</f>
        <v>517865.07</v>
      </c>
      <c r="T4" s="18">
        <f>'Formato 6 a)'!F11</f>
        <v>517865.07</v>
      </c>
      <c r="U4" s="18">
        <f>'Formato 6 a)'!G11</f>
        <v>1732389.6899999997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7727</v>
      </c>
      <c r="Q5" s="18">
        <f>'Formato 6 a)'!C12</f>
        <v>13797.61</v>
      </c>
      <c r="R5" s="18">
        <f>'Formato 6 a)'!D12</f>
        <v>21524.61</v>
      </c>
      <c r="S5" s="18">
        <f>'Formato 6 a)'!E12</f>
        <v>3302.31</v>
      </c>
      <c r="T5" s="18">
        <f>'Formato 6 a)'!F12</f>
        <v>3302.31</v>
      </c>
      <c r="U5" s="18">
        <f>'Formato 6 a)'!G12</f>
        <v>18222.3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10909</v>
      </c>
      <c r="Q6" s="18">
        <f>'Formato 6 a)'!C13</f>
        <v>272687</v>
      </c>
      <c r="R6" s="18">
        <f>'Formato 6 a)'!D13</f>
        <v>283596</v>
      </c>
      <c r="S6" s="18">
        <f>'Formato 6 a)'!E13</f>
        <v>0</v>
      </c>
      <c r="T6" s="18">
        <f>'Formato 6 a)'!F13</f>
        <v>0</v>
      </c>
      <c r="U6" s="18">
        <f>'Formato 6 a)'!G13</f>
        <v>283596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819994</v>
      </c>
      <c r="Q8" s="18">
        <f>'Formato 6 a)'!C15</f>
        <v>0</v>
      </c>
      <c r="R8" s="18">
        <f>'Formato 6 a)'!D15</f>
        <v>819994</v>
      </c>
      <c r="S8" s="18">
        <f>'Formato 6 a)'!E15</f>
        <v>19656</v>
      </c>
      <c r="T8" s="18">
        <f>'Formato 6 a)'!F15</f>
        <v>19656</v>
      </c>
      <c r="U8" s="18">
        <f>'Formato 6 a)'!G15</f>
        <v>800338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372000</v>
      </c>
      <c r="Q11" s="18">
        <f>'Formato 6 a)'!C18</f>
        <v>57500</v>
      </c>
      <c r="R11" s="18">
        <f>'Formato 6 a)'!D18</f>
        <v>429500</v>
      </c>
      <c r="S11" s="18">
        <f>'Formato 6 a)'!E18</f>
        <v>77070.92</v>
      </c>
      <c r="T11" s="18">
        <f>'Formato 6 a)'!F18</f>
        <v>73639.3</v>
      </c>
      <c r="U11" s="18">
        <f>'Formato 6 a)'!G18</f>
        <v>352429.08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81000</v>
      </c>
      <c r="Q12" s="18">
        <f>'Formato 6 a)'!C19</f>
        <v>5000</v>
      </c>
      <c r="R12" s="18">
        <f>'Formato 6 a)'!D19</f>
        <v>86000</v>
      </c>
      <c r="S12" s="18">
        <f>'Formato 6 a)'!E19</f>
        <v>5142.7299999999996</v>
      </c>
      <c r="T12" s="18">
        <f>'Formato 6 a)'!F19</f>
        <v>5142.7299999999996</v>
      </c>
      <c r="U12" s="18">
        <f>'Formato 6 a)'!G19</f>
        <v>80857.27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5000</v>
      </c>
      <c r="Q13" s="18">
        <f>'Formato 6 a)'!C20</f>
        <v>2500</v>
      </c>
      <c r="R13" s="18">
        <f>'Formato 6 a)'!D20</f>
        <v>7500</v>
      </c>
      <c r="S13" s="18">
        <f>'Formato 6 a)'!E20</f>
        <v>1026.5</v>
      </c>
      <c r="T13" s="18">
        <f>'Formato 6 a)'!F20</f>
        <v>1026.5</v>
      </c>
      <c r="U13" s="18">
        <f>'Formato 6 a)'!G20</f>
        <v>6473.5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170000</v>
      </c>
      <c r="Q16" s="18">
        <f>'Formato 6 a)'!C23</f>
        <v>30000</v>
      </c>
      <c r="R16" s="18">
        <f>'Formato 6 a)'!D23</f>
        <v>200000</v>
      </c>
      <c r="S16" s="18">
        <f>'Formato 6 a)'!E23</f>
        <v>50514.32</v>
      </c>
      <c r="T16" s="18">
        <f>'Formato 6 a)'!F23</f>
        <v>49366.32</v>
      </c>
      <c r="U16" s="18">
        <f>'Formato 6 a)'!G23</f>
        <v>149485.68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80000</v>
      </c>
      <c r="Q17" s="18">
        <f>'Formato 6 a)'!C24</f>
        <v>20000</v>
      </c>
      <c r="R17" s="18">
        <f>'Formato 6 a)'!D24</f>
        <v>100000</v>
      </c>
      <c r="S17" s="18">
        <f>'Formato 6 a)'!E24</f>
        <v>20306.169999999998</v>
      </c>
      <c r="T17" s="18">
        <f>'Formato 6 a)'!F24</f>
        <v>18022.55</v>
      </c>
      <c r="U17" s="18">
        <f>'Formato 6 a)'!G24</f>
        <v>79693.83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20000</v>
      </c>
      <c r="Q18" s="18">
        <f>'Formato 6 a)'!C25</f>
        <v>0</v>
      </c>
      <c r="R18" s="18">
        <f>'Formato 6 a)'!D25</f>
        <v>20000</v>
      </c>
      <c r="S18" s="18">
        <f>'Formato 6 a)'!E25</f>
        <v>0</v>
      </c>
      <c r="T18" s="18">
        <f>'Formato 6 a)'!F25</f>
        <v>0</v>
      </c>
      <c r="U18" s="18">
        <f>'Formato 6 a)'!G25</f>
        <v>20000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16000</v>
      </c>
      <c r="Q20" s="18">
        <f>'Formato 6 a)'!C27</f>
        <v>0</v>
      </c>
      <c r="R20" s="18">
        <f>'Formato 6 a)'!D27</f>
        <v>16000</v>
      </c>
      <c r="S20" s="18">
        <f>'Formato 6 a)'!E27</f>
        <v>81.2</v>
      </c>
      <c r="T20" s="18">
        <f>'Formato 6 a)'!F27</f>
        <v>81.2</v>
      </c>
      <c r="U20" s="18">
        <f>'Formato 6 a)'!G27</f>
        <v>15918.8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865883.37</v>
      </c>
      <c r="Q21" s="18">
        <f>'Formato 6 a)'!C28</f>
        <v>5273198.63</v>
      </c>
      <c r="R21" s="18">
        <f>'Formato 6 a)'!D28</f>
        <v>6139082</v>
      </c>
      <c r="S21" s="18">
        <f>'Formato 6 a)'!E28</f>
        <v>5208680.97</v>
      </c>
      <c r="T21" s="18">
        <f>'Formato 6 a)'!F28</f>
        <v>5205880.97</v>
      </c>
      <c r="U21" s="18">
        <f>'Formato 6 a)'!G28</f>
        <v>930401.03000000049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24000</v>
      </c>
      <c r="Q22" s="18">
        <f>'Formato 6 a)'!C29</f>
        <v>19000</v>
      </c>
      <c r="R22" s="18">
        <f>'Formato 6 a)'!D29</f>
        <v>43000</v>
      </c>
      <c r="S22" s="18">
        <f>'Formato 6 a)'!E29</f>
        <v>7201</v>
      </c>
      <c r="T22" s="18">
        <f>'Formato 6 a)'!F29</f>
        <v>7201</v>
      </c>
      <c r="U22" s="18">
        <f>'Formato 6 a)'!G29</f>
        <v>35799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60000</v>
      </c>
      <c r="Q23" s="18">
        <f>'Formato 6 a)'!C30</f>
        <v>0</v>
      </c>
      <c r="R23" s="18">
        <f>'Formato 6 a)'!D30</f>
        <v>60000</v>
      </c>
      <c r="S23" s="18">
        <f>'Formato 6 a)'!E30</f>
        <v>11209.08</v>
      </c>
      <c r="T23" s="18">
        <f>'Formato 6 a)'!F30</f>
        <v>11209.08</v>
      </c>
      <c r="U23" s="18">
        <f>'Formato 6 a)'!G30</f>
        <v>48790.92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443301.37</v>
      </c>
      <c r="Q24" s="18">
        <f>'Formato 6 a)'!C31</f>
        <v>209198.63</v>
      </c>
      <c r="R24" s="18">
        <f>'Formato 6 a)'!D31</f>
        <v>652500</v>
      </c>
      <c r="S24" s="18">
        <f>'Formato 6 a)'!E31</f>
        <v>147800.82999999999</v>
      </c>
      <c r="T24" s="18">
        <f>'Formato 6 a)'!F31</f>
        <v>145000.82999999999</v>
      </c>
      <c r="U24" s="18">
        <f>'Formato 6 a)'!G31</f>
        <v>504699.17000000004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120000</v>
      </c>
      <c r="Q25" s="18">
        <f>'Formato 6 a)'!C32</f>
        <v>20000</v>
      </c>
      <c r="R25" s="18">
        <f>'Formato 6 a)'!D32</f>
        <v>140000</v>
      </c>
      <c r="S25" s="18">
        <f>'Formato 6 a)'!E32</f>
        <v>30950.69</v>
      </c>
      <c r="T25" s="18">
        <f>'Formato 6 a)'!F32</f>
        <v>30950.69</v>
      </c>
      <c r="U25" s="18">
        <f>'Formato 6 a)'!G32</f>
        <v>109049.31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79000</v>
      </c>
      <c r="Q26" s="18">
        <f>'Formato 6 a)'!C33</f>
        <v>0</v>
      </c>
      <c r="R26" s="18">
        <f>'Formato 6 a)'!D33</f>
        <v>79000</v>
      </c>
      <c r="S26" s="18">
        <f>'Formato 6 a)'!E33</f>
        <v>870</v>
      </c>
      <c r="T26" s="18">
        <f>'Formato 6 a)'!F33</f>
        <v>870</v>
      </c>
      <c r="U26" s="18">
        <f>'Formato 6 a)'!G33</f>
        <v>78130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10000</v>
      </c>
      <c r="Q27" s="18">
        <f>'Formato 6 a)'!C34</f>
        <v>0</v>
      </c>
      <c r="R27" s="18">
        <f>'Formato 6 a)'!D34</f>
        <v>10000</v>
      </c>
      <c r="S27" s="18">
        <f>'Formato 6 a)'!E34</f>
        <v>0</v>
      </c>
      <c r="T27" s="18">
        <f>'Formato 6 a)'!F34</f>
        <v>0</v>
      </c>
      <c r="U27" s="18">
        <f>'Formato 6 a)'!G34</f>
        <v>10000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6000</v>
      </c>
      <c r="Q28" s="18">
        <f>'Formato 6 a)'!C35</f>
        <v>0</v>
      </c>
      <c r="R28" s="18">
        <f>'Formato 6 a)'!D35</f>
        <v>6000</v>
      </c>
      <c r="S28" s="18">
        <f>'Formato 6 a)'!E35</f>
        <v>710</v>
      </c>
      <c r="T28" s="18">
        <f>'Formato 6 a)'!F35</f>
        <v>710</v>
      </c>
      <c r="U28" s="18">
        <f>'Formato 6 a)'!G35</f>
        <v>5290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45000</v>
      </c>
      <c r="Q29" s="18">
        <f>'Formato 6 a)'!C36</f>
        <v>5000</v>
      </c>
      <c r="R29" s="18">
        <f>'Formato 6 a)'!D36</f>
        <v>50000</v>
      </c>
      <c r="S29" s="18">
        <f>'Formato 6 a)'!E36</f>
        <v>3432.52</v>
      </c>
      <c r="T29" s="18">
        <f>'Formato 6 a)'!F36</f>
        <v>3432.52</v>
      </c>
      <c r="U29" s="18">
        <f>'Formato 6 a)'!G36</f>
        <v>46567.48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78582</v>
      </c>
      <c r="Q30" s="18">
        <f>'Formato 6 a)'!C37</f>
        <v>5020000</v>
      </c>
      <c r="R30" s="18">
        <f>'Formato 6 a)'!D37</f>
        <v>5098582</v>
      </c>
      <c r="S30" s="18">
        <f>'Formato 6 a)'!E37</f>
        <v>5006506.8499999996</v>
      </c>
      <c r="T30" s="18">
        <f>'Formato 6 a)'!F37</f>
        <v>5006506.8499999996</v>
      </c>
      <c r="U30" s="18">
        <f>'Formato 6 a)'!G37</f>
        <v>92075.150000000373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3340000</v>
      </c>
      <c r="R41" s="18">
        <f>'Formato 6 a)'!D48</f>
        <v>3340000</v>
      </c>
      <c r="S41" s="18">
        <f>'Formato 6 a)'!E48</f>
        <v>0</v>
      </c>
      <c r="T41" s="18">
        <f>'Formato 6 a)'!F48</f>
        <v>0</v>
      </c>
      <c r="U41" s="18">
        <f>'Formato 6 a)'!G48</f>
        <v>3340000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55000</v>
      </c>
      <c r="R42" s="18">
        <f>'Formato 6 a)'!D49</f>
        <v>55000</v>
      </c>
      <c r="S42" s="18">
        <f>'Formato 6 a)'!E49</f>
        <v>0</v>
      </c>
      <c r="T42" s="18">
        <f>'Formato 6 a)'!F49</f>
        <v>0</v>
      </c>
      <c r="U42" s="18">
        <f>'Formato 6 a)'!G49</f>
        <v>55000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285000</v>
      </c>
      <c r="R45" s="18">
        <f>'Formato 6 a)'!D52</f>
        <v>285000</v>
      </c>
      <c r="S45" s="18">
        <f>'Formato 6 a)'!E52</f>
        <v>0</v>
      </c>
      <c r="T45" s="18">
        <f>'Formato 6 a)'!F52</f>
        <v>0</v>
      </c>
      <c r="U45" s="18">
        <f>'Formato 6 a)'!G52</f>
        <v>285000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3000000</v>
      </c>
      <c r="R49" s="18">
        <f>'Formato 6 a)'!D56</f>
        <v>3000000</v>
      </c>
      <c r="S49" s="18">
        <f>'Formato 6 a)'!E56</f>
        <v>0</v>
      </c>
      <c r="T49" s="18">
        <f>'Formato 6 a)'!F56</f>
        <v>0</v>
      </c>
      <c r="U49" s="18">
        <f>'Formato 6 a)'!G56</f>
        <v>3000000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10482786.630000001</v>
      </c>
      <c r="Q55" s="18">
        <f>'Formato 6 a)'!C62</f>
        <v>1432871.77</v>
      </c>
      <c r="R55" s="18">
        <f>'Formato 6 a)'!D62</f>
        <v>11915658.4</v>
      </c>
      <c r="S55" s="18">
        <f>'Formato 6 a)'!E62</f>
        <v>0</v>
      </c>
      <c r="T55" s="18">
        <f>'Formato 6 a)'!F62</f>
        <v>0</v>
      </c>
      <c r="U55" s="18">
        <f>'Formato 6 a)'!G62</f>
        <v>11915658.4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1000000</v>
      </c>
      <c r="R59" s="18">
        <f>'Formato 6 a)'!D66</f>
        <v>1000000</v>
      </c>
      <c r="S59" s="18">
        <f>'Formato 6 a)'!E66</f>
        <v>0</v>
      </c>
      <c r="T59" s="18">
        <f>'Formato 6 a)'!F66</f>
        <v>0</v>
      </c>
      <c r="U59" s="18">
        <f>'Formato 6 a)'!G66</f>
        <v>1000000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7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10482786.630000001</v>
      </c>
      <c r="Q63" s="18">
        <f>'Formato 6 a)'!C70</f>
        <v>432871.77</v>
      </c>
      <c r="R63" s="18">
        <f>'Formato 6 a)'!D70</f>
        <v>10915658.4</v>
      </c>
      <c r="S63" s="18">
        <f>'Formato 6 a)'!E70</f>
        <v>0</v>
      </c>
      <c r="T63" s="18">
        <f>'Formato 6 a)'!F70</f>
        <v>0</v>
      </c>
      <c r="U63" s="18">
        <f>'Formato 6 a)'!G70</f>
        <v>10915658.4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 x14ac:dyDescent="0.4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ht="14.25" x14ac:dyDescent="0.4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ht="14.25" x14ac:dyDescent="0.4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12645849</v>
      </c>
      <c r="Q150">
        <f>'Formato 6 a)'!C159</f>
        <v>12553760.77</v>
      </c>
      <c r="R150">
        <f>'Formato 6 a)'!D159</f>
        <v>25199609.77</v>
      </c>
      <c r="S150">
        <f>'Formato 6 a)'!E159</f>
        <v>5826575.2699999996</v>
      </c>
      <c r="T150">
        <f>'Formato 6 a)'!F159</f>
        <v>5820343.6499999994</v>
      </c>
      <c r="U150">
        <f>'Formato 6 a)'!G159</f>
        <v>19373034.5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1"/>
  <sheetViews>
    <sheetView showGridLines="0" zoomScale="90" zoomScaleNormal="90" workbookViewId="0">
      <selection activeCell="C30" sqref="C30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3290</v>
      </c>
      <c r="B1" s="172"/>
      <c r="C1" s="172"/>
      <c r="D1" s="172"/>
      <c r="E1" s="172"/>
      <c r="F1" s="172"/>
      <c r="G1" s="172"/>
    </row>
    <row r="2" spans="1:7" ht="14.25" x14ac:dyDescent="0.45">
      <c r="A2" s="153" t="str">
        <f>ENTE_PUBLICO_A</f>
        <v>Instituto Municipal de Vivienda de San Miguel de Allende,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marzo de 2021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25" x14ac:dyDescent="0.45">
      <c r="A9" s="52" t="s">
        <v>440</v>
      </c>
      <c r="B9" s="59">
        <f>SUM(B10:GASTO_NE_FIN_01)</f>
        <v>12645849</v>
      </c>
      <c r="C9" s="59">
        <f>SUM(C10:GASTO_NE_FIN_02)</f>
        <v>12553760.770000001</v>
      </c>
      <c r="D9" s="59">
        <f>SUM(D10:GASTO_NE_FIN_03)</f>
        <v>25199609.77</v>
      </c>
      <c r="E9" s="59">
        <f>SUM(E10:GASTO_NE_FIN_04)</f>
        <v>5826575.2700000005</v>
      </c>
      <c r="F9" s="59">
        <f>SUM(F10:GASTO_NE_FIN_05)</f>
        <v>5820343.6500000004</v>
      </c>
      <c r="G9" s="59">
        <f>SUM(G10:GASTO_NE_FIN_06)</f>
        <v>19373034.5</v>
      </c>
    </row>
    <row r="10" spans="1:7" s="24" customFormat="1" x14ac:dyDescent="0.25">
      <c r="A10" s="144" t="s">
        <v>432</v>
      </c>
      <c r="B10" s="60">
        <v>11524640</v>
      </c>
      <c r="C10" s="60">
        <v>2786302.55</v>
      </c>
      <c r="D10" s="60">
        <v>14310942.550000001</v>
      </c>
      <c r="E10" s="60">
        <v>604756.99</v>
      </c>
      <c r="F10" s="60">
        <v>599576.67000000004</v>
      </c>
      <c r="G10" s="77">
        <f>D10-E10</f>
        <v>13706185.560000001</v>
      </c>
    </row>
    <row r="11" spans="1:7" s="24" customFormat="1" x14ac:dyDescent="0.25">
      <c r="A11" s="144" t="s">
        <v>433</v>
      </c>
      <c r="B11" s="60">
        <v>1011745</v>
      </c>
      <c r="C11" s="60">
        <v>8295154.4100000001</v>
      </c>
      <c r="D11" s="60">
        <v>9306899.4100000001</v>
      </c>
      <c r="E11" s="60">
        <v>5115813.08</v>
      </c>
      <c r="F11" s="60">
        <v>5115813.08</v>
      </c>
      <c r="G11" s="77">
        <f t="shared" ref="G11:G17" si="0">D11-E11</f>
        <v>4191086.33</v>
      </c>
    </row>
    <row r="12" spans="1:7" s="24" customFormat="1" x14ac:dyDescent="0.25">
      <c r="A12" s="144" t="s">
        <v>434</v>
      </c>
      <c r="B12" s="60">
        <v>109464</v>
      </c>
      <c r="C12" s="60">
        <v>1472303.81</v>
      </c>
      <c r="D12" s="60">
        <v>1581767.81</v>
      </c>
      <c r="E12" s="60">
        <v>106005.2</v>
      </c>
      <c r="F12" s="60">
        <v>104953.9</v>
      </c>
      <c r="G12" s="77">
        <f t="shared" si="0"/>
        <v>1475762.61</v>
      </c>
    </row>
    <row r="13" spans="1:7" s="24" customFormat="1" ht="14.25" x14ac:dyDescent="0.45">
      <c r="A13" s="144" t="s">
        <v>435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77">
        <f t="shared" si="0"/>
        <v>0</v>
      </c>
    </row>
    <row r="14" spans="1:7" s="24" customFormat="1" ht="14.25" x14ac:dyDescent="0.45">
      <c r="A14" s="144" t="s">
        <v>436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77">
        <f t="shared" si="0"/>
        <v>0</v>
      </c>
    </row>
    <row r="15" spans="1:7" s="24" customFormat="1" ht="14.25" x14ac:dyDescent="0.45">
      <c r="A15" s="144" t="s">
        <v>437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77">
        <f t="shared" si="0"/>
        <v>0</v>
      </c>
    </row>
    <row r="16" spans="1:7" s="24" customFormat="1" ht="14.25" x14ac:dyDescent="0.45">
      <c r="A16" s="144" t="s">
        <v>438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77">
        <f t="shared" si="0"/>
        <v>0</v>
      </c>
    </row>
    <row r="17" spans="1:7" s="24" customFormat="1" ht="14.25" x14ac:dyDescent="0.45">
      <c r="A17" s="144" t="s">
        <v>439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25" x14ac:dyDescent="0.45">
      <c r="A20" s="144" t="s">
        <v>432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>D20-E20</f>
        <v>0</v>
      </c>
    </row>
    <row r="21" spans="1:7" s="24" customFormat="1" ht="14.25" x14ac:dyDescent="0.45">
      <c r="A21" s="144" t="s">
        <v>433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7" si="1">D21-E21</f>
        <v>0</v>
      </c>
    </row>
    <row r="22" spans="1:7" s="24" customFormat="1" ht="14.25" x14ac:dyDescent="0.45">
      <c r="A22" s="144" t="s">
        <v>434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1"/>
        <v>0</v>
      </c>
    </row>
    <row r="23" spans="1:7" s="24" customFormat="1" ht="14.25" x14ac:dyDescent="0.45">
      <c r="A23" s="144" t="s">
        <v>435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1"/>
        <v>0</v>
      </c>
    </row>
    <row r="24" spans="1:7" s="24" customFormat="1" ht="14.25" x14ac:dyDescent="0.45">
      <c r="A24" s="144" t="s">
        <v>436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1"/>
        <v>0</v>
      </c>
    </row>
    <row r="25" spans="1:7" s="24" customFormat="1" ht="14.25" x14ac:dyDescent="0.45">
      <c r="A25" s="144" t="s">
        <v>437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1"/>
        <v>0</v>
      </c>
    </row>
    <row r="26" spans="1:7" s="24" customFormat="1" ht="14.25" x14ac:dyDescent="0.45">
      <c r="A26" s="144" t="s">
        <v>438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1"/>
        <v>0</v>
      </c>
    </row>
    <row r="27" spans="1:7" s="24" customFormat="1" ht="14.25" x14ac:dyDescent="0.45">
      <c r="A27" s="144" t="s">
        <v>439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1"/>
        <v>0</v>
      </c>
    </row>
    <row r="28" spans="1:7" ht="14.25" x14ac:dyDescent="0.45">
      <c r="A28" s="76" t="s">
        <v>686</v>
      </c>
      <c r="B28" s="54"/>
      <c r="C28" s="54"/>
      <c r="D28" s="54"/>
      <c r="E28" s="54"/>
      <c r="F28" s="54"/>
      <c r="G28" s="54"/>
    </row>
    <row r="29" spans="1:7" ht="14.25" x14ac:dyDescent="0.45">
      <c r="A29" s="55" t="s">
        <v>360</v>
      </c>
      <c r="B29" s="61">
        <f>GASTO_NE_T1+GASTO_E_T1</f>
        <v>12645849</v>
      </c>
      <c r="C29" s="61">
        <f>GASTO_NE_T2+GASTO_E_T2</f>
        <v>12553760.770000001</v>
      </c>
      <c r="D29" s="61">
        <f>GASTO_NE_T3+GASTO_E_T3</f>
        <v>25199609.77</v>
      </c>
      <c r="E29" s="61">
        <f>GASTO_NE_T4+GASTO_E_T4</f>
        <v>5826575.2700000005</v>
      </c>
      <c r="F29" s="61">
        <f>GASTO_NE_T5+GASTO_E_T5</f>
        <v>5820343.6500000004</v>
      </c>
      <c r="G29" s="61">
        <f>GASTO_NE_T6+GASTO_E_T6</f>
        <v>19373034.5</v>
      </c>
    </row>
    <row r="30" spans="1:7" ht="14.25" x14ac:dyDescent="0.4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12645849</v>
      </c>
      <c r="Q2" s="18">
        <f>GASTO_NE_T2</f>
        <v>12553760.770000001</v>
      </c>
      <c r="R2" s="18">
        <f>GASTO_NE_T3</f>
        <v>25199609.77</v>
      </c>
      <c r="S2" s="18">
        <f>GASTO_NE_T4</f>
        <v>5826575.2700000005</v>
      </c>
      <c r="T2" s="18">
        <f>GASTO_NE_T5</f>
        <v>5820343.6500000004</v>
      </c>
      <c r="U2" s="18">
        <f>GASTO_NE_T6</f>
        <v>19373034.5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12645849</v>
      </c>
      <c r="Q4" s="18">
        <f>TOTAL_E_T2</f>
        <v>12553760.770000001</v>
      </c>
      <c r="R4" s="18">
        <f>TOTAL_E_T3</f>
        <v>25199609.77</v>
      </c>
      <c r="S4" s="18">
        <f>TOTAL_E_T4</f>
        <v>5826575.2700000005</v>
      </c>
      <c r="T4" s="18">
        <f>TOTAL_E_T5</f>
        <v>5820343.6500000004</v>
      </c>
      <c r="U4" s="18">
        <f>TOTAL_E_T6</f>
        <v>19373034.5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ht="14.25" x14ac:dyDescent="0.4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topLeftCell="A19" zoomScale="90" zoomScaleNormal="90" workbookViewId="0">
      <selection activeCell="B22" sqref="B22:F22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3289</v>
      </c>
      <c r="B1" s="179"/>
      <c r="C1" s="179"/>
      <c r="D1" s="179"/>
      <c r="E1" s="179"/>
      <c r="F1" s="179"/>
      <c r="G1" s="179"/>
    </row>
    <row r="2" spans="1:7" ht="14.25" x14ac:dyDescent="0.45">
      <c r="A2" s="153" t="str">
        <f>ENTE_PUBLICO_A</f>
        <v>Instituto Municipal de Vivienda de San Miguel de Allende,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marzo de 2021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25" x14ac:dyDescent="0.45">
      <c r="A9" s="52" t="s">
        <v>363</v>
      </c>
      <c r="B9" s="70">
        <f>SUM(B10,B19,B27,B37)</f>
        <v>12645849</v>
      </c>
      <c r="C9" s="70">
        <f t="shared" ref="C9:G9" si="0">SUM(C10,C19,C27,C37)</f>
        <v>12553760.77</v>
      </c>
      <c r="D9" s="70">
        <f t="shared" si="0"/>
        <v>25199609.77</v>
      </c>
      <c r="E9" s="70">
        <f t="shared" si="0"/>
        <v>5826575.2699999996</v>
      </c>
      <c r="F9" s="70">
        <f t="shared" si="0"/>
        <v>5820343.6500000004</v>
      </c>
      <c r="G9" s="70">
        <f t="shared" si="0"/>
        <v>19373034.5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ht="14.25" x14ac:dyDescent="0.4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ht="14.25" x14ac:dyDescent="0.4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ht="14.25" x14ac:dyDescent="0.4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ht="14.25" x14ac:dyDescent="0.4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ht="14.25" x14ac:dyDescent="0.4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12645849</v>
      </c>
      <c r="C19" s="71">
        <f t="shared" ref="C19:F19" si="3">SUM(C20:C26)</f>
        <v>12553760.77</v>
      </c>
      <c r="D19" s="71">
        <f t="shared" si="3"/>
        <v>25199609.77</v>
      </c>
      <c r="E19" s="71">
        <f t="shared" si="3"/>
        <v>5826575.2699999996</v>
      </c>
      <c r="F19" s="71">
        <f t="shared" si="3"/>
        <v>5820343.6500000004</v>
      </c>
      <c r="G19" s="71">
        <f>SUM(G20:G26)</f>
        <v>19373034.5</v>
      </c>
    </row>
    <row r="20" spans="1:7" x14ac:dyDescent="0.25">
      <c r="A20" s="63" t="s">
        <v>374</v>
      </c>
      <c r="B20" s="72">
        <v>0</v>
      </c>
      <c r="C20" s="72">
        <v>0</v>
      </c>
      <c r="D20" s="72">
        <v>0</v>
      </c>
      <c r="E20" s="72">
        <v>0</v>
      </c>
      <c r="F20" s="72">
        <v>0</v>
      </c>
      <c r="G20" s="72">
        <f>D20-E20</f>
        <v>0</v>
      </c>
    </row>
    <row r="21" spans="1:7" x14ac:dyDescent="0.25">
      <c r="A21" s="63" t="s">
        <v>375</v>
      </c>
      <c r="B21" s="71">
        <v>12645849</v>
      </c>
      <c r="C21" s="71">
        <v>12553760.77</v>
      </c>
      <c r="D21" s="71">
        <v>25199609.77</v>
      </c>
      <c r="E21" s="71">
        <v>5826575.2699999996</v>
      </c>
      <c r="F21" s="71">
        <v>5820343.6500000004</v>
      </c>
      <c r="G21" s="72">
        <f t="shared" ref="G21:G26" si="4">D21-E21</f>
        <v>19373034.5</v>
      </c>
    </row>
    <row r="22" spans="1:7" ht="14.25" x14ac:dyDescent="0.45">
      <c r="A22" s="63" t="s">
        <v>376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2">
        <f t="shared" si="4"/>
        <v>0</v>
      </c>
    </row>
    <row r="23" spans="1:7" x14ac:dyDescent="0.25">
      <c r="A23" s="63" t="s">
        <v>377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f t="shared" si="4"/>
        <v>0</v>
      </c>
    </row>
    <row r="24" spans="1:7" x14ac:dyDescent="0.25">
      <c r="A24" s="63" t="s">
        <v>378</v>
      </c>
      <c r="B24" s="72">
        <v>0</v>
      </c>
      <c r="C24" s="72">
        <v>0</v>
      </c>
      <c r="D24" s="72">
        <v>0</v>
      </c>
      <c r="E24" s="72">
        <v>0</v>
      </c>
      <c r="F24" s="72">
        <v>0</v>
      </c>
      <c r="G24" s="72">
        <f t="shared" si="4"/>
        <v>0</v>
      </c>
    </row>
    <row r="25" spans="1:7" x14ac:dyDescent="0.25">
      <c r="A25" s="63" t="s">
        <v>379</v>
      </c>
      <c r="B25" s="72">
        <v>0</v>
      </c>
      <c r="C25" s="72">
        <v>0</v>
      </c>
      <c r="D25" s="72">
        <v>0</v>
      </c>
      <c r="E25" s="72">
        <v>0</v>
      </c>
      <c r="F25" s="72">
        <v>0</v>
      </c>
      <c r="G25" s="72">
        <f t="shared" si="4"/>
        <v>0</v>
      </c>
    </row>
    <row r="26" spans="1:7" ht="14.25" x14ac:dyDescent="0.45">
      <c r="A26" s="63" t="s">
        <v>380</v>
      </c>
      <c r="B26" s="72">
        <v>0</v>
      </c>
      <c r="C26" s="72">
        <v>0</v>
      </c>
      <c r="D26" s="72">
        <v>0</v>
      </c>
      <c r="E26" s="72">
        <v>0</v>
      </c>
      <c r="F26" s="72">
        <v>0</v>
      </c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2">
        <v>0</v>
      </c>
      <c r="C28" s="72">
        <v>0</v>
      </c>
      <c r="D28" s="72">
        <v>0</v>
      </c>
      <c r="E28" s="72">
        <v>0</v>
      </c>
      <c r="F28" s="72">
        <v>0</v>
      </c>
      <c r="G28" s="72">
        <f>D28-E28</f>
        <v>0</v>
      </c>
    </row>
    <row r="29" spans="1:7" ht="14.25" x14ac:dyDescent="0.45">
      <c r="A29" s="63" t="s">
        <v>383</v>
      </c>
      <c r="B29" s="72">
        <v>0</v>
      </c>
      <c r="C29" s="72">
        <v>0</v>
      </c>
      <c r="D29" s="72">
        <v>0</v>
      </c>
      <c r="E29" s="72">
        <v>0</v>
      </c>
      <c r="F29" s="72">
        <v>0</v>
      </c>
      <c r="G29" s="72">
        <f t="shared" ref="G29:G36" si="6">D29-E29</f>
        <v>0</v>
      </c>
    </row>
    <row r="30" spans="1:7" x14ac:dyDescent="0.25">
      <c r="A30" s="63" t="s">
        <v>384</v>
      </c>
      <c r="B30" s="72">
        <v>0</v>
      </c>
      <c r="C30" s="72">
        <v>0</v>
      </c>
      <c r="D30" s="72">
        <v>0</v>
      </c>
      <c r="E30" s="72">
        <v>0</v>
      </c>
      <c r="F30" s="72">
        <v>0</v>
      </c>
      <c r="G30" s="72">
        <f t="shared" si="6"/>
        <v>0</v>
      </c>
    </row>
    <row r="31" spans="1:7" x14ac:dyDescent="0.25">
      <c r="A31" s="63" t="s">
        <v>385</v>
      </c>
      <c r="B31" s="72">
        <v>0</v>
      </c>
      <c r="C31" s="72">
        <v>0</v>
      </c>
      <c r="D31" s="72">
        <v>0</v>
      </c>
      <c r="E31" s="72">
        <v>0</v>
      </c>
      <c r="F31" s="72">
        <v>0</v>
      </c>
      <c r="G31" s="72">
        <f t="shared" si="6"/>
        <v>0</v>
      </c>
    </row>
    <row r="32" spans="1:7" ht="14.25" x14ac:dyDescent="0.45">
      <c r="A32" s="63" t="s">
        <v>386</v>
      </c>
      <c r="B32" s="72">
        <v>0</v>
      </c>
      <c r="C32" s="72">
        <v>0</v>
      </c>
      <c r="D32" s="72">
        <v>0</v>
      </c>
      <c r="E32" s="72">
        <v>0</v>
      </c>
      <c r="F32" s="72">
        <v>0</v>
      </c>
      <c r="G32" s="72">
        <f t="shared" si="6"/>
        <v>0</v>
      </c>
    </row>
    <row r="33" spans="1:7" ht="14.25" x14ac:dyDescent="0.45">
      <c r="A33" s="63" t="s">
        <v>387</v>
      </c>
      <c r="B33" s="72">
        <v>0</v>
      </c>
      <c r="C33" s="72">
        <v>0</v>
      </c>
      <c r="D33" s="72">
        <v>0</v>
      </c>
      <c r="E33" s="72">
        <v>0</v>
      </c>
      <c r="F33" s="72">
        <v>0</v>
      </c>
      <c r="G33" s="72">
        <f t="shared" si="6"/>
        <v>0</v>
      </c>
    </row>
    <row r="34" spans="1:7" ht="14.25" x14ac:dyDescent="0.45">
      <c r="A34" s="63" t="s">
        <v>388</v>
      </c>
      <c r="B34" s="72">
        <v>0</v>
      </c>
      <c r="C34" s="72">
        <v>0</v>
      </c>
      <c r="D34" s="72">
        <v>0</v>
      </c>
      <c r="E34" s="72">
        <v>0</v>
      </c>
      <c r="F34" s="72">
        <v>0</v>
      </c>
      <c r="G34" s="72">
        <f t="shared" si="6"/>
        <v>0</v>
      </c>
    </row>
    <row r="35" spans="1:7" x14ac:dyDescent="0.25">
      <c r="A35" s="63" t="s">
        <v>389</v>
      </c>
      <c r="B35" s="72">
        <v>0</v>
      </c>
      <c r="C35" s="72">
        <v>0</v>
      </c>
      <c r="D35" s="72">
        <v>0</v>
      </c>
      <c r="E35" s="72">
        <v>0</v>
      </c>
      <c r="F35" s="72">
        <v>0</v>
      </c>
      <c r="G35" s="72">
        <f t="shared" si="6"/>
        <v>0</v>
      </c>
    </row>
    <row r="36" spans="1:7" x14ac:dyDescent="0.25">
      <c r="A36" s="63" t="s">
        <v>390</v>
      </c>
      <c r="B36" s="72">
        <v>0</v>
      </c>
      <c r="C36" s="72">
        <v>0</v>
      </c>
      <c r="D36" s="72">
        <v>0</v>
      </c>
      <c r="E36" s="72">
        <v>0</v>
      </c>
      <c r="F36" s="72">
        <v>0</v>
      </c>
      <c r="G36" s="72">
        <f t="shared" si="6"/>
        <v>0</v>
      </c>
    </row>
    <row r="37" spans="1:7" ht="28.5" x14ac:dyDescent="0.4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2">
        <v>0</v>
      </c>
      <c r="C38" s="72">
        <v>0</v>
      </c>
      <c r="D38" s="72">
        <v>0</v>
      </c>
      <c r="E38" s="72">
        <v>0</v>
      </c>
      <c r="F38" s="72">
        <v>0</v>
      </c>
      <c r="G38" s="72">
        <f>D38-E38</f>
        <v>0</v>
      </c>
    </row>
    <row r="39" spans="1:7" ht="30" x14ac:dyDescent="0.25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 t="shared" ref="G39:G41" si="8">D39-E39</f>
        <v>0</v>
      </c>
    </row>
    <row r="40" spans="1:7" ht="14.25" x14ac:dyDescent="0.45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 t="shared" si="8"/>
        <v>0</v>
      </c>
    </row>
    <row r="41" spans="1:7" ht="14.25" x14ac:dyDescent="0.45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 t="shared" si="8"/>
        <v>0</v>
      </c>
    </row>
    <row r="42" spans="1:7" ht="14.25" x14ac:dyDescent="0.45">
      <c r="A42" s="69"/>
      <c r="B42" s="72"/>
      <c r="C42" s="72"/>
      <c r="D42" s="72"/>
      <c r="E42" s="72"/>
      <c r="F42" s="72"/>
      <c r="G42" s="72"/>
    </row>
    <row r="43" spans="1:7" ht="14.25" x14ac:dyDescent="0.4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1">D46-E46</f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1"/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1"/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1"/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1"/>
        <v>0</v>
      </c>
    </row>
    <row r="51" spans="1:7" x14ac:dyDescent="0.25">
      <c r="A51" s="69" t="s">
        <v>371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f t="shared" si="11"/>
        <v>0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2">
        <v>0</v>
      </c>
      <c r="C54" s="72">
        <v>0</v>
      </c>
      <c r="D54" s="72">
        <v>0</v>
      </c>
      <c r="E54" s="72">
        <v>0</v>
      </c>
      <c r="F54" s="72">
        <v>0</v>
      </c>
      <c r="G54" s="72">
        <f>D54-E54</f>
        <v>0</v>
      </c>
    </row>
    <row r="55" spans="1:7" x14ac:dyDescent="0.25">
      <c r="A55" s="69" t="s">
        <v>375</v>
      </c>
      <c r="B55" s="72">
        <v>0</v>
      </c>
      <c r="C55" s="72">
        <v>0</v>
      </c>
      <c r="D55" s="72">
        <v>0</v>
      </c>
      <c r="E55" s="72">
        <v>0</v>
      </c>
      <c r="F55" s="72">
        <v>0</v>
      </c>
      <c r="G55" s="72">
        <f t="shared" ref="G55:G60" si="13">D55-E55</f>
        <v>0</v>
      </c>
    </row>
    <row r="56" spans="1:7" x14ac:dyDescent="0.25">
      <c r="A56" s="69" t="s">
        <v>376</v>
      </c>
      <c r="B56" s="72">
        <v>0</v>
      </c>
      <c r="C56" s="72">
        <v>0</v>
      </c>
      <c r="D56" s="72">
        <v>0</v>
      </c>
      <c r="E56" s="72">
        <v>0</v>
      </c>
      <c r="F56" s="72">
        <v>0</v>
      </c>
      <c r="G56" s="72">
        <f t="shared" si="13"/>
        <v>0</v>
      </c>
    </row>
    <row r="57" spans="1:7" x14ac:dyDescent="0.25">
      <c r="A57" s="48" t="s">
        <v>377</v>
      </c>
      <c r="B57" s="72">
        <v>0</v>
      </c>
      <c r="C57" s="72">
        <v>0</v>
      </c>
      <c r="D57" s="72">
        <v>0</v>
      </c>
      <c r="E57" s="72">
        <v>0</v>
      </c>
      <c r="F57" s="72">
        <v>0</v>
      </c>
      <c r="G57" s="72">
        <f t="shared" si="13"/>
        <v>0</v>
      </c>
    </row>
    <row r="58" spans="1:7" x14ac:dyDescent="0.25">
      <c r="A58" s="69" t="s">
        <v>378</v>
      </c>
      <c r="B58" s="72">
        <v>0</v>
      </c>
      <c r="C58" s="72">
        <v>0</v>
      </c>
      <c r="D58" s="72">
        <v>0</v>
      </c>
      <c r="E58" s="72">
        <v>0</v>
      </c>
      <c r="F58" s="72">
        <v>0</v>
      </c>
      <c r="G58" s="72">
        <f t="shared" si="13"/>
        <v>0</v>
      </c>
    </row>
    <row r="59" spans="1:7" x14ac:dyDescent="0.25">
      <c r="A59" s="69" t="s">
        <v>379</v>
      </c>
      <c r="B59" s="72">
        <v>0</v>
      </c>
      <c r="C59" s="72">
        <v>0</v>
      </c>
      <c r="D59" s="72">
        <v>0</v>
      </c>
      <c r="E59" s="72">
        <v>0</v>
      </c>
      <c r="F59" s="72">
        <v>0</v>
      </c>
      <c r="G59" s="72">
        <f t="shared" si="13"/>
        <v>0</v>
      </c>
    </row>
    <row r="60" spans="1:7" x14ac:dyDescent="0.25">
      <c r="A60" s="69" t="s">
        <v>380</v>
      </c>
      <c r="B60" s="72">
        <v>0</v>
      </c>
      <c r="C60" s="72">
        <v>0</v>
      </c>
      <c r="D60" s="72">
        <v>0</v>
      </c>
      <c r="E60" s="72">
        <v>0</v>
      </c>
      <c r="F60" s="72">
        <v>0</v>
      </c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2">
        <v>0</v>
      </c>
      <c r="C62" s="72">
        <v>0</v>
      </c>
      <c r="D62" s="72">
        <v>0</v>
      </c>
      <c r="E62" s="72">
        <v>0</v>
      </c>
      <c r="F62" s="72">
        <v>0</v>
      </c>
      <c r="G62" s="72">
        <f>D62-E62</f>
        <v>0</v>
      </c>
    </row>
    <row r="63" spans="1:7" x14ac:dyDescent="0.25">
      <c r="A63" s="69" t="s">
        <v>383</v>
      </c>
      <c r="B63" s="72">
        <v>0</v>
      </c>
      <c r="C63" s="72">
        <v>0</v>
      </c>
      <c r="D63" s="72">
        <v>0</v>
      </c>
      <c r="E63" s="72">
        <v>0</v>
      </c>
      <c r="F63" s="72">
        <v>0</v>
      </c>
      <c r="G63" s="72">
        <f t="shared" ref="G63:G70" si="15">D63-E63</f>
        <v>0</v>
      </c>
    </row>
    <row r="64" spans="1:7" x14ac:dyDescent="0.25">
      <c r="A64" s="69" t="s">
        <v>384</v>
      </c>
      <c r="B64" s="72">
        <v>0</v>
      </c>
      <c r="C64" s="72">
        <v>0</v>
      </c>
      <c r="D64" s="72">
        <v>0</v>
      </c>
      <c r="E64" s="72">
        <v>0</v>
      </c>
      <c r="F64" s="72">
        <v>0</v>
      </c>
      <c r="G64" s="72">
        <f t="shared" si="15"/>
        <v>0</v>
      </c>
    </row>
    <row r="65" spans="1:8" x14ac:dyDescent="0.25">
      <c r="A65" s="69" t="s">
        <v>385</v>
      </c>
      <c r="B65" s="72">
        <v>0</v>
      </c>
      <c r="C65" s="72">
        <v>0</v>
      </c>
      <c r="D65" s="72">
        <v>0</v>
      </c>
      <c r="E65" s="72">
        <v>0</v>
      </c>
      <c r="F65" s="72">
        <v>0</v>
      </c>
      <c r="G65" s="72">
        <f t="shared" si="15"/>
        <v>0</v>
      </c>
    </row>
    <row r="66" spans="1:8" x14ac:dyDescent="0.25">
      <c r="A66" s="69" t="s">
        <v>386</v>
      </c>
      <c r="B66" s="72">
        <v>0</v>
      </c>
      <c r="C66" s="72">
        <v>0</v>
      </c>
      <c r="D66" s="72">
        <v>0</v>
      </c>
      <c r="E66" s="72">
        <v>0</v>
      </c>
      <c r="F66" s="72">
        <v>0</v>
      </c>
      <c r="G66" s="72">
        <f t="shared" si="15"/>
        <v>0</v>
      </c>
    </row>
    <row r="67" spans="1:8" x14ac:dyDescent="0.25">
      <c r="A67" s="69" t="s">
        <v>387</v>
      </c>
      <c r="B67" s="72">
        <v>0</v>
      </c>
      <c r="C67" s="72">
        <v>0</v>
      </c>
      <c r="D67" s="72">
        <v>0</v>
      </c>
      <c r="E67" s="72">
        <v>0</v>
      </c>
      <c r="F67" s="72">
        <v>0</v>
      </c>
      <c r="G67" s="72">
        <f t="shared" si="15"/>
        <v>0</v>
      </c>
    </row>
    <row r="68" spans="1:8" x14ac:dyDescent="0.25">
      <c r="A68" s="69" t="s">
        <v>388</v>
      </c>
      <c r="B68" s="72">
        <v>0</v>
      </c>
      <c r="C68" s="72">
        <v>0</v>
      </c>
      <c r="D68" s="72">
        <v>0</v>
      </c>
      <c r="E68" s="72">
        <v>0</v>
      </c>
      <c r="F68" s="72">
        <v>0</v>
      </c>
      <c r="G68" s="72">
        <f t="shared" si="15"/>
        <v>0</v>
      </c>
    </row>
    <row r="69" spans="1:8" x14ac:dyDescent="0.25">
      <c r="A69" s="69" t="s">
        <v>389</v>
      </c>
      <c r="B69" s="72">
        <v>0</v>
      </c>
      <c r="C69" s="72">
        <v>0</v>
      </c>
      <c r="D69" s="72">
        <v>0</v>
      </c>
      <c r="E69" s="72">
        <v>0</v>
      </c>
      <c r="F69" s="72">
        <v>0</v>
      </c>
      <c r="G69" s="72">
        <f t="shared" si="15"/>
        <v>0</v>
      </c>
    </row>
    <row r="70" spans="1:8" x14ac:dyDescent="0.25">
      <c r="A70" s="69" t="s">
        <v>390</v>
      </c>
      <c r="B70" s="72">
        <v>0</v>
      </c>
      <c r="C70" s="72">
        <v>0</v>
      </c>
      <c r="D70" s="72">
        <v>0</v>
      </c>
      <c r="E70" s="72">
        <v>0</v>
      </c>
      <c r="F70" s="72">
        <v>0</v>
      </c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2">
        <v>0</v>
      </c>
      <c r="C72" s="72">
        <v>0</v>
      </c>
      <c r="D72" s="72">
        <v>0</v>
      </c>
      <c r="E72" s="72">
        <v>0</v>
      </c>
      <c r="F72" s="72">
        <v>0</v>
      </c>
      <c r="G72" s="72">
        <f>D72-E72</f>
        <v>0</v>
      </c>
    </row>
    <row r="73" spans="1:8" ht="30" x14ac:dyDescent="0.25">
      <c r="A73" s="69" t="s">
        <v>392</v>
      </c>
      <c r="B73" s="72">
        <v>0</v>
      </c>
      <c r="C73" s="72">
        <v>0</v>
      </c>
      <c r="D73" s="72">
        <v>0</v>
      </c>
      <c r="E73" s="72">
        <v>0</v>
      </c>
      <c r="F73" s="72">
        <v>0</v>
      </c>
      <c r="G73" s="72">
        <f t="shared" ref="G73:G75" si="17">D73-E73</f>
        <v>0</v>
      </c>
    </row>
    <row r="74" spans="1:8" x14ac:dyDescent="0.25">
      <c r="A74" s="69" t="s">
        <v>393</v>
      </c>
      <c r="B74" s="72">
        <v>0</v>
      </c>
      <c r="C74" s="72">
        <v>0</v>
      </c>
      <c r="D74" s="72">
        <v>0</v>
      </c>
      <c r="E74" s="72">
        <v>0</v>
      </c>
      <c r="F74" s="72">
        <v>0</v>
      </c>
      <c r="G74" s="72">
        <f t="shared" si="17"/>
        <v>0</v>
      </c>
    </row>
    <row r="75" spans="1:8" x14ac:dyDescent="0.25">
      <c r="A75" s="69" t="s">
        <v>394</v>
      </c>
      <c r="B75" s="72">
        <v>0</v>
      </c>
      <c r="C75" s="72">
        <v>0</v>
      </c>
      <c r="D75" s="72">
        <v>0</v>
      </c>
      <c r="E75" s="72">
        <v>0</v>
      </c>
      <c r="F75" s="72">
        <v>0</v>
      </c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12645849</v>
      </c>
      <c r="C77" s="73">
        <f t="shared" ref="C77:F77" si="18">C43+C9</f>
        <v>12553760.77</v>
      </c>
      <c r="D77" s="73">
        <f t="shared" si="18"/>
        <v>25199609.77</v>
      </c>
      <c r="E77" s="73">
        <f t="shared" si="18"/>
        <v>5826575.2699999996</v>
      </c>
      <c r="F77" s="73">
        <f t="shared" si="18"/>
        <v>5820343.6500000004</v>
      </c>
      <c r="G77" s="73">
        <f>G43+G9</f>
        <v>19373034.5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12645849</v>
      </c>
      <c r="Q2" s="18">
        <f>'Formato 6 c)'!C9</f>
        <v>12553760.77</v>
      </c>
      <c r="R2" s="18">
        <f>'Formato 6 c)'!D9</f>
        <v>25199609.77</v>
      </c>
      <c r="S2" s="18">
        <f>'Formato 6 c)'!E9</f>
        <v>5826575.2699999996</v>
      </c>
      <c r="T2" s="18">
        <f>'Formato 6 c)'!F9</f>
        <v>5820343.6500000004</v>
      </c>
      <c r="U2" s="18">
        <f>'Formato 6 c)'!G9</f>
        <v>19373034.5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12645849</v>
      </c>
      <c r="Q12" s="18">
        <f>'Formato 6 c)'!C19</f>
        <v>12553760.77</v>
      </c>
      <c r="R12" s="18">
        <f>'Formato 6 c)'!D19</f>
        <v>25199609.77</v>
      </c>
      <c r="S12" s="18">
        <f>'Formato 6 c)'!E19</f>
        <v>5826575.2699999996</v>
      </c>
      <c r="T12" s="18">
        <f>'Formato 6 c)'!F19</f>
        <v>5820343.6500000004</v>
      </c>
      <c r="U12" s="18">
        <f>'Formato 6 c)'!G19</f>
        <v>19373034.5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12645849</v>
      </c>
      <c r="Q14" s="18">
        <f>'Formato 6 c)'!C21</f>
        <v>12553760.77</v>
      </c>
      <c r="R14" s="18">
        <f>'Formato 6 c)'!D21</f>
        <v>25199609.77</v>
      </c>
      <c r="S14" s="18">
        <f>'Formato 6 c)'!E21</f>
        <v>5826575.2699999996</v>
      </c>
      <c r="T14" s="18">
        <f>'Formato 6 c)'!F21</f>
        <v>5820343.6500000004</v>
      </c>
      <c r="U14" s="18">
        <f>'Formato 6 c)'!G21</f>
        <v>19373034.5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ht="14.25" x14ac:dyDescent="0.4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ht="14.25" x14ac:dyDescent="0.4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ht="14.25" x14ac:dyDescent="0.4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ht="14.25" x14ac:dyDescent="0.4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ht="14.25" x14ac:dyDescent="0.4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12645849</v>
      </c>
      <c r="Q68" s="18">
        <f>'Formato 6 c)'!C77</f>
        <v>12553760.77</v>
      </c>
      <c r="R68" s="18">
        <f>'Formato 6 c)'!D77</f>
        <v>25199609.77</v>
      </c>
      <c r="S68" s="18">
        <f>'Formato 6 c)'!E77</f>
        <v>5826575.2699999996</v>
      </c>
      <c r="T68" s="18">
        <f>'Formato 6 c)'!F77</f>
        <v>5820343.6500000004</v>
      </c>
      <c r="U68" s="18">
        <f>'Formato 6 c)'!G77</f>
        <v>19373034.5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Instituto Municipal de Vivienda de San Miguel de Allende, Gto., Gobierno del Estado de Guanajuato</v>
      </c>
    </row>
    <row r="7" spans="2:3" ht="14.25" x14ac:dyDescent="0.45">
      <c r="C7" t="str">
        <f>CONCATENATE(ENTE_PUBLICO," (a)")</f>
        <v>Instituto Municipal de Vivienda de San Miguel de Allende, Gto.,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1160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San Miguel de Allende, Gobierno del Estado de Guanajuato</v>
      </c>
    </row>
    <row r="12" spans="2:3" x14ac:dyDescent="0.25">
      <c r="B12" t="s">
        <v>794</v>
      </c>
      <c r="C12" s="24">
        <v>2021</v>
      </c>
    </row>
    <row r="14" spans="2:3" ht="14.25" x14ac:dyDescent="0.45">
      <c r="B14" t="s">
        <v>793</v>
      </c>
      <c r="C14" s="24" t="s">
        <v>3302</v>
      </c>
    </row>
    <row r="15" spans="2:3" ht="14.25" x14ac:dyDescent="0.45">
      <c r="C15" s="24">
        <v>1</v>
      </c>
    </row>
    <row r="16" spans="2:3" ht="14.25" x14ac:dyDescent="0.45">
      <c r="C16" s="24" t="s">
        <v>3303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2021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2021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2021 (m = g – l)</v>
      </c>
    </row>
    <row r="20" spans="4:9" ht="57" x14ac:dyDescent="0.45">
      <c r="D20" s="21" t="str">
        <f>CONCATENATE(ANIO_INFORME, " (d)")</f>
        <v>2021 (d)</v>
      </c>
      <c r="E20" s="22" t="str">
        <f>CONCATENATE("31 de diciembre de ",ANIO_INFORME-1, " (e)")</f>
        <v>31 de diciembre de 2020 (e)</v>
      </c>
      <c r="F20" s="31" t="str">
        <f>CONCATENATE("Saldo al 31 de diciembre de ",ANIO_INFORME-1, " (d)")</f>
        <v>Saldo al 31 de diciembre de 2020 (d)</v>
      </c>
    </row>
    <row r="23" spans="4:9" ht="14.25" x14ac:dyDescent="0.45">
      <c r="D23" s="33">
        <f>ANIO_INFORME + 1</f>
        <v>2022</v>
      </c>
      <c r="E23" s="34" t="str">
        <f>CONCATENATE(ANIO_INFORME + 2, " (d)")</f>
        <v>2023 (d)</v>
      </c>
      <c r="F23" s="34" t="str">
        <f>CONCATENATE(ANIO_INFORME + 3, " (d)")</f>
        <v>2024 (d)</v>
      </c>
      <c r="G23" s="34" t="str">
        <f>CONCATENATE(ANIO_INFORME + 4, " (d)")</f>
        <v>2025 (d)</v>
      </c>
      <c r="H23" s="34" t="str">
        <f>CONCATENATE(ANIO_INFORME + 5, " (d)")</f>
        <v>2026 (d)</v>
      </c>
      <c r="I23" s="34" t="str">
        <f>CONCATENATE(ANIO_INFORME + 6, " (d)")</f>
        <v>2027 (d)</v>
      </c>
    </row>
    <row r="25" spans="4:9" x14ac:dyDescent="0.25">
      <c r="D25" s="35" t="str">
        <f>CONCATENATE(ANIO_INFORME - 5, " ",CHAR(185)," (c)")</f>
        <v>2016 ¹ (c)</v>
      </c>
      <c r="E25" s="35" t="str">
        <f>CONCATENATE(ANIO_INFORME - 4, " ",CHAR(185)," (c)")</f>
        <v>2017 ¹ (c)</v>
      </c>
      <c r="F25" s="35" t="str">
        <f>CONCATENATE(ANIO_INFORME - 3, " ",CHAR(185)," (c)")</f>
        <v>2018 ¹ (c)</v>
      </c>
      <c r="G25" s="35" t="str">
        <f>CONCATENATE(ANIO_INFORME - 2, " ",CHAR(185)," (c)")</f>
        <v>2019 ¹ (c)</v>
      </c>
      <c r="H25" s="35" t="str">
        <f>CONCATENATE(ANIO_INFORME - 1, " ",CHAR(185)," (c)")</f>
        <v>2020 ¹ (c)</v>
      </c>
      <c r="I25" s="33">
        <f>ANIO_INFORME</f>
        <v>2021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40">
        <v>-1.7976931348623099E+100</v>
      </c>
      <c r="E30" s="140">
        <v>1.7976931348623099E+100</v>
      </c>
    </row>
    <row r="32" spans="4:9" ht="14.25" x14ac:dyDescent="0.45">
      <c r="D32" t="s">
        <v>3145</v>
      </c>
      <c r="E32" t="s">
        <v>3146</v>
      </c>
    </row>
    <row r="33" spans="4:5" ht="14.25" x14ac:dyDescent="0.4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topLeftCell="A7" zoomScale="90" zoomScaleNormal="90" workbookViewId="0">
      <selection activeCell="B31" sqref="B31:F31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3287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ENTE_PUBLICO_A</f>
        <v>Instituto Municipal de Vivienda de San Miguel de Allende,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25" x14ac:dyDescent="0.45">
      <c r="A5" s="159" t="str">
        <f>TRIMESTRE</f>
        <v>Del 1 de enero al 30 de marzo de 2021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25" x14ac:dyDescent="0.45">
      <c r="A9" s="52" t="s">
        <v>400</v>
      </c>
      <c r="B9" s="66">
        <f>SUM(B10,B11,B12,B15,B16,B19)</f>
        <v>925179</v>
      </c>
      <c r="C9" s="66">
        <f t="shared" ref="C9:F9" si="0">SUM(C10,C11,C12,C15,C16,C19)</f>
        <v>2450190.37</v>
      </c>
      <c r="D9" s="66">
        <f t="shared" si="0"/>
        <v>3375369.37</v>
      </c>
      <c r="E9" s="66">
        <f t="shared" si="0"/>
        <v>540823.38</v>
      </c>
      <c r="F9" s="66">
        <f t="shared" si="0"/>
        <v>540823.38</v>
      </c>
      <c r="G9" s="66">
        <f>SUM(G10,G11,G12,G15,G16,G19)</f>
        <v>2834545.99</v>
      </c>
    </row>
    <row r="10" spans="1:7" x14ac:dyDescent="0.25">
      <c r="A10" s="53" t="s">
        <v>401</v>
      </c>
      <c r="B10" s="67">
        <v>925179</v>
      </c>
      <c r="C10" s="67">
        <v>2450190.37</v>
      </c>
      <c r="D10" s="67">
        <v>3375369.37</v>
      </c>
      <c r="E10" s="67">
        <v>540823.38</v>
      </c>
      <c r="F10" s="67">
        <v>540823.38</v>
      </c>
      <c r="G10" s="67">
        <f>D10-E10</f>
        <v>2834545.99</v>
      </c>
    </row>
    <row r="11" spans="1:7" ht="14.25" x14ac:dyDescent="0.4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x14ac:dyDescent="0.4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ht="14.25" x14ac:dyDescent="0.4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ht="14.25" x14ac:dyDescent="0.4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ht="14.25" x14ac:dyDescent="0.4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ht="14.25" x14ac:dyDescent="0.4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ht="14.25" x14ac:dyDescent="0.4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ht="14.25" x14ac:dyDescent="0.4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ht="14.25" x14ac:dyDescent="0.4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ht="14.25" x14ac:dyDescent="0.4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ht="14.25" x14ac:dyDescent="0.4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8">D30-E30</f>
        <v>0</v>
      </c>
    </row>
    <row r="31" spans="1:7" s="24" customFormat="1" ht="14.25" x14ac:dyDescent="0.4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8"/>
        <v>0</v>
      </c>
    </row>
    <row r="32" spans="1:7" ht="14.25" x14ac:dyDescent="0.45">
      <c r="A32" s="54"/>
      <c r="B32" s="68"/>
      <c r="C32" s="68"/>
      <c r="D32" s="68"/>
      <c r="E32" s="68"/>
      <c r="F32" s="68"/>
      <c r="G32" s="68"/>
    </row>
    <row r="33" spans="1:7" ht="14.25" x14ac:dyDescent="0.45">
      <c r="A33" s="55" t="s">
        <v>412</v>
      </c>
      <c r="B33" s="66">
        <f>B21+B9</f>
        <v>925179</v>
      </c>
      <c r="C33" s="66">
        <f t="shared" ref="C33:G33" si="9">C21+C9</f>
        <v>2450190.37</v>
      </c>
      <c r="D33" s="66">
        <f t="shared" si="9"/>
        <v>3375369.37</v>
      </c>
      <c r="E33" s="66">
        <f t="shared" si="9"/>
        <v>540823.38</v>
      </c>
      <c r="F33" s="66">
        <f t="shared" si="9"/>
        <v>540823.38</v>
      </c>
      <c r="G33" s="66">
        <f t="shared" si="9"/>
        <v>2834545.99</v>
      </c>
    </row>
    <row r="34" spans="1:7" ht="14.25" x14ac:dyDescent="0.4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925179</v>
      </c>
      <c r="Q2" s="18">
        <f>'Formato 6 d)'!C9</f>
        <v>2450190.37</v>
      </c>
      <c r="R2" s="18">
        <f>'Formato 6 d)'!D9</f>
        <v>3375369.37</v>
      </c>
      <c r="S2" s="18">
        <f>'Formato 6 d)'!E9</f>
        <v>540823.38</v>
      </c>
      <c r="T2" s="18">
        <f>'Formato 6 d)'!F9</f>
        <v>540823.38</v>
      </c>
      <c r="U2" s="18">
        <f>'Formato 6 d)'!G9</f>
        <v>2834545.99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925179</v>
      </c>
      <c r="Q3" s="18">
        <f>'Formato 6 d)'!C10</f>
        <v>2450190.37</v>
      </c>
      <c r="R3" s="18">
        <f>'Formato 6 d)'!D10</f>
        <v>3375369.37</v>
      </c>
      <c r="S3" s="18">
        <f>'Formato 6 d)'!E10</f>
        <v>540823.38</v>
      </c>
      <c r="T3" s="18">
        <f>'Formato 6 d)'!F10</f>
        <v>540823.38</v>
      </c>
      <c r="U3" s="18">
        <f>'Formato 6 d)'!G10</f>
        <v>2834545.99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925179</v>
      </c>
      <c r="Q24" s="18">
        <f>'Formato 6 d)'!C33</f>
        <v>2450190.37</v>
      </c>
      <c r="R24" s="18">
        <f>'Formato 6 d)'!D33</f>
        <v>3375369.37</v>
      </c>
      <c r="S24" s="18">
        <f>'Formato 6 d)'!E33</f>
        <v>540823.38</v>
      </c>
      <c r="T24" s="18">
        <f>'Formato 6 d)'!F33</f>
        <v>540823.38</v>
      </c>
      <c r="U24" s="18">
        <f>'Formato 6 d)'!G33</f>
        <v>2834545.99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ht="14.25" x14ac:dyDescent="0.4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topLeftCell="A2" zoomScale="85" zoomScaleNormal="85" zoomScalePageLayoutView="90" workbookViewId="0">
      <selection activeCell="B36" sqref="B36:G36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1" t="s">
        <v>413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San Miguel de Allende,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414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3288</v>
      </c>
      <c r="B6" s="51">
        <f>ANIO1P</f>
        <v>2022</v>
      </c>
      <c r="C6" s="181" t="str">
        <f>ANIO2P</f>
        <v>2023 (d)</v>
      </c>
      <c r="D6" s="181" t="str">
        <f>ANIO3P</f>
        <v>2024 (d)</v>
      </c>
      <c r="E6" s="181" t="str">
        <f>ANIO4P</f>
        <v>2025 (d)</v>
      </c>
      <c r="F6" s="181" t="str">
        <f>ANIO5P</f>
        <v>2026 (d)</v>
      </c>
      <c r="G6" s="181" t="str">
        <f>ANIO6P</f>
        <v>2027 (d)</v>
      </c>
    </row>
    <row r="7" spans="1:7" ht="48" customHeight="1" x14ac:dyDescent="0.25">
      <c r="A7" s="169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ht="14.25" x14ac:dyDescent="0.45">
      <c r="A12" s="53" t="s">
        <v>416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ht="14.25" x14ac:dyDescent="0.4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ht="14.25" x14ac:dyDescent="0.45">
      <c r="A15" s="53" t="s">
        <v>417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ht="14.25" x14ac:dyDescent="0.4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53" t="s">
        <v>240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ht="14.25" x14ac:dyDescent="0.45">
      <c r="A19" s="53" t="s">
        <v>241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25" x14ac:dyDescent="0.45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ht="14.25" x14ac:dyDescent="0.4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ht="14.25" x14ac:dyDescent="0.4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ht="14.25" x14ac:dyDescent="0.4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ht="14.25" x14ac:dyDescent="0.45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ht="14.25" x14ac:dyDescent="0.4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ht="14.25" x14ac:dyDescent="0.45">
      <c r="A31" s="54"/>
      <c r="B31" s="54"/>
      <c r="C31" s="54"/>
      <c r="D31" s="54"/>
      <c r="E31" s="54"/>
      <c r="F31" s="54"/>
      <c r="G31" s="54"/>
    </row>
    <row r="32" spans="1:7" ht="14.25" x14ac:dyDescent="0.45">
      <c r="A32" s="14" t="s">
        <v>427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ht="14.25" x14ac:dyDescent="0.45">
      <c r="A33" s="54"/>
      <c r="B33" s="54"/>
      <c r="C33" s="54"/>
      <c r="D33" s="54"/>
      <c r="E33" s="54"/>
      <c r="F33" s="54"/>
      <c r="G33" s="54"/>
    </row>
    <row r="34" spans="1:7" ht="14.25" x14ac:dyDescent="0.4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28.5" x14ac:dyDescent="0.4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ht="14.25" x14ac:dyDescent="0.4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ht="14.25" x14ac:dyDescent="0.4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ht="14.25" x14ac:dyDescent="0.4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zoomScale="90" zoomScaleNormal="90" workbookViewId="0">
      <selection activeCell="B20" sqref="B20:G28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1" t="s">
        <v>451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Municipio de San Miguel de Allende, Gobierno del Estado de Guanajuato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452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2022</v>
      </c>
      <c r="C6" s="181" t="str">
        <f>ANIO2P</f>
        <v>2023 (d)</v>
      </c>
      <c r="D6" s="181" t="str">
        <f>ANIO3P</f>
        <v>2024 (d)</v>
      </c>
      <c r="E6" s="181" t="str">
        <f>ANIO4P</f>
        <v>2025 (d)</v>
      </c>
      <c r="F6" s="181" t="str">
        <f>ANIO5P</f>
        <v>2026 (d)</v>
      </c>
      <c r="G6" s="181" t="str">
        <f>ANIO6P</f>
        <v>2027 (d)</v>
      </c>
    </row>
    <row r="7" spans="1:7" customFormat="1" ht="48" customHeight="1" x14ac:dyDescent="0.25">
      <c r="A7" s="184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455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456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457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458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459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462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462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ht="14.25" x14ac:dyDescent="0.4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ht="14.25" x14ac:dyDescent="0.4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topLeftCell="A2" zoomScale="90" zoomScaleNormal="90" workbookViewId="0">
      <selection activeCell="B34" sqref="B34:G35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466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San Miguel de Allende,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467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3288</v>
      </c>
      <c r="B5" s="186" t="str">
        <f>ANIO5R</f>
        <v>2016 ¹ (c)</v>
      </c>
      <c r="C5" s="186" t="str">
        <f>ANIO4R</f>
        <v>2017 ¹ (c)</v>
      </c>
      <c r="D5" s="186" t="str">
        <f>ANIO3R</f>
        <v>2018 ¹ (c)</v>
      </c>
      <c r="E5" s="186" t="str">
        <f>ANIO2R</f>
        <v>2019 ¹ (c)</v>
      </c>
      <c r="F5" s="186" t="str">
        <f>ANIO1R</f>
        <v>2020 ¹ (c)</v>
      </c>
      <c r="G5" s="51">
        <f>ANIO_INFORME</f>
        <v>2021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3294</v>
      </c>
    </row>
    <row r="7" spans="1:7" x14ac:dyDescent="0.25">
      <c r="A7" s="52" t="s">
        <v>468</v>
      </c>
      <c r="B7" s="59">
        <f>SUM(B8:B19)</f>
        <v>0</v>
      </c>
      <c r="C7" s="59">
        <f t="shared" ref="C7:G7" si="0">SUM(C8:C19)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469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472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473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6" t="s">
        <v>474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475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476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3298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478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479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481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482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483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484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ht="14.25" x14ac:dyDescent="0.4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ht="14.25" x14ac:dyDescent="0.4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0</v>
      </c>
      <c r="C31" s="61">
        <f t="shared" ref="C31:G31" si="3">C7+C21+C28</f>
        <v>0</v>
      </c>
      <c r="D31" s="61">
        <f t="shared" si="3"/>
        <v>0</v>
      </c>
      <c r="E31" s="61">
        <f t="shared" si="3"/>
        <v>0</v>
      </c>
      <c r="F31" s="61">
        <f t="shared" si="3"/>
        <v>0</v>
      </c>
      <c r="G31" s="61">
        <f t="shared" si="3"/>
        <v>0</v>
      </c>
    </row>
    <row r="32" spans="1:7" ht="14.25" x14ac:dyDescent="0.45">
      <c r="A32" s="54"/>
      <c r="B32" s="54"/>
      <c r="C32" s="54"/>
      <c r="D32" s="54"/>
      <c r="E32" s="54"/>
      <c r="F32" s="54"/>
      <c r="G32" s="54"/>
    </row>
    <row r="33" spans="1:7" ht="14.25" x14ac:dyDescent="0.4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14.25" x14ac:dyDescent="0.45">
      <c r="A35" s="57" t="s">
        <v>488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14.25" x14ac:dyDescent="0.4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ht="14.25" x14ac:dyDescent="0.45">
      <c r="A37" s="65"/>
      <c r="B37" s="65"/>
      <c r="C37" s="65"/>
      <c r="D37" s="65"/>
      <c r="E37" s="65"/>
      <c r="F37" s="65"/>
      <c r="G37" s="65"/>
    </row>
    <row r="38" spans="1:7" ht="14.25" x14ac:dyDescent="0.45">
      <c r="A38" s="90"/>
    </row>
    <row r="39" spans="1:7" ht="15" customHeight="1" x14ac:dyDescent="0.45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3293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0</v>
      </c>
      <c r="U2" s="18">
        <f>'Formato 7 c)'!G7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0</v>
      </c>
      <c r="U23" s="18">
        <f>'Formato 7 c)'!G31</f>
        <v>0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zoomScale="90" zoomScaleNormal="90" workbookViewId="0">
      <selection activeCell="B19" sqref="B19:G27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490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San Miguel de Allende,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491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2016 ¹ (c)</v>
      </c>
      <c r="C5" s="186" t="str">
        <f>ANIO4R</f>
        <v>2017 ¹ (c)</v>
      </c>
      <c r="D5" s="186" t="str">
        <f>ANIO3R</f>
        <v>2018 ¹ (c)</v>
      </c>
      <c r="E5" s="186" t="str">
        <f>ANIO2R</f>
        <v>2019 ¹ (c)</v>
      </c>
      <c r="F5" s="186" t="str">
        <f>ANIO1R</f>
        <v>2020 ¹ (c)</v>
      </c>
      <c r="G5" s="51">
        <f>ANIO_INFORME</f>
        <v>2021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454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455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456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460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455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456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457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458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460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0</v>
      </c>
      <c r="C29" s="60">
        <f t="shared" ref="C29:G29" si="2">C7+C18</f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0</v>
      </c>
    </row>
    <row r="30" spans="1:7" ht="14.25" x14ac:dyDescent="0.45">
      <c r="A30" s="58"/>
      <c r="B30" s="58"/>
      <c r="C30" s="58"/>
      <c r="D30" s="58"/>
      <c r="E30" s="58"/>
      <c r="F30" s="58"/>
      <c r="G30" s="58"/>
    </row>
    <row r="31" spans="1:7" ht="14.25" x14ac:dyDescent="0.45">
      <c r="A31" s="90"/>
    </row>
    <row r="32" spans="1:7" ht="14.25" x14ac:dyDescent="0.45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0</v>
      </c>
      <c r="U22" s="18">
        <f>'Formato 7 d)'!G29</f>
        <v>0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ht="14.25" x14ac:dyDescent="0.4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zoomScale="90" zoomScaleNormal="90" workbookViewId="0">
      <selection activeCell="A16" sqref="A16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Instituto Municipal de Vivienda de San Miguel de Allende, Gto., Gobierno del Estado de Guanajuato</v>
      </c>
      <c r="B2" s="154"/>
      <c r="C2" s="154"/>
      <c r="D2" s="154"/>
      <c r="E2" s="154"/>
      <c r="F2" s="155"/>
    </row>
    <row r="3" spans="1:7" ht="14.25" x14ac:dyDescent="0.45">
      <c r="A3" s="162" t="s">
        <v>496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 t="s">
        <v>3305</v>
      </c>
      <c r="C6" s="60" t="s">
        <v>3305</v>
      </c>
      <c r="D6" s="60" t="s">
        <v>3305</v>
      </c>
      <c r="E6" s="60" t="s">
        <v>3305</v>
      </c>
      <c r="F6" s="60" t="s">
        <v>3305</v>
      </c>
    </row>
    <row r="7" spans="1:7" x14ac:dyDescent="0.25">
      <c r="A7" s="137" t="s">
        <v>504</v>
      </c>
      <c r="B7" s="60" t="s">
        <v>3305</v>
      </c>
      <c r="C7" s="60" t="s">
        <v>3305</v>
      </c>
      <c r="D7" s="60" t="s">
        <v>3305</v>
      </c>
      <c r="E7" s="60" t="s">
        <v>3305</v>
      </c>
      <c r="F7" s="60" t="s">
        <v>3305</v>
      </c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 t="s">
        <v>3305</v>
      </c>
      <c r="C10" s="60" t="s">
        <v>3305</v>
      </c>
      <c r="D10" s="60" t="s">
        <v>3305</v>
      </c>
      <c r="E10" s="60" t="s">
        <v>3305</v>
      </c>
      <c r="F10" s="60" t="s">
        <v>3305</v>
      </c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 t="s">
        <v>3305</v>
      </c>
      <c r="C14" s="60" t="s">
        <v>3305</v>
      </c>
      <c r="D14" s="60" t="s">
        <v>3305</v>
      </c>
      <c r="E14" s="60" t="s">
        <v>3305</v>
      </c>
      <c r="F14" s="60" t="s">
        <v>3305</v>
      </c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60" t="s">
        <v>3305</v>
      </c>
      <c r="C18" s="60" t="s">
        <v>3305</v>
      </c>
      <c r="D18" s="60" t="s">
        <v>3305</v>
      </c>
      <c r="E18" s="60" t="s">
        <v>3305</v>
      </c>
      <c r="F18" s="60" t="s">
        <v>3305</v>
      </c>
    </row>
    <row r="19" spans="1:6" x14ac:dyDescent="0.25">
      <c r="A19" s="137" t="s">
        <v>512</v>
      </c>
      <c r="B19" s="60" t="s">
        <v>3305</v>
      </c>
      <c r="C19" s="60" t="s">
        <v>3305</v>
      </c>
      <c r="D19" s="60" t="s">
        <v>3305</v>
      </c>
      <c r="E19" s="60" t="s">
        <v>3305</v>
      </c>
      <c r="F19" s="60" t="s">
        <v>3305</v>
      </c>
    </row>
    <row r="20" spans="1:6" x14ac:dyDescent="0.25">
      <c r="A20" s="137" t="s">
        <v>513</v>
      </c>
      <c r="B20" s="60" t="s">
        <v>3305</v>
      </c>
      <c r="C20" s="60" t="s">
        <v>3305</v>
      </c>
      <c r="D20" s="60" t="s">
        <v>3305</v>
      </c>
      <c r="E20" s="60" t="s">
        <v>3305</v>
      </c>
      <c r="F20" s="60" t="s">
        <v>3305</v>
      </c>
    </row>
    <row r="21" spans="1:6" x14ac:dyDescent="0.25">
      <c r="A21" s="137" t="s">
        <v>514</v>
      </c>
      <c r="B21" s="60" t="s">
        <v>3305</v>
      </c>
      <c r="C21" s="60" t="s">
        <v>3305</v>
      </c>
      <c r="D21" s="60" t="s">
        <v>3305</v>
      </c>
      <c r="E21" s="60" t="s">
        <v>3305</v>
      </c>
      <c r="F21" s="60" t="s">
        <v>3305</v>
      </c>
    </row>
    <row r="22" spans="1:6" ht="14.25" x14ac:dyDescent="0.45">
      <c r="A22" s="64" t="s">
        <v>515</v>
      </c>
      <c r="B22" s="60" t="s">
        <v>3305</v>
      </c>
      <c r="C22" s="60" t="s">
        <v>3305</v>
      </c>
      <c r="D22" s="60" t="s">
        <v>3305</v>
      </c>
      <c r="E22" s="60" t="s">
        <v>3305</v>
      </c>
      <c r="F22" s="60" t="s">
        <v>3305</v>
      </c>
    </row>
    <row r="23" spans="1:6" ht="14.25" x14ac:dyDescent="0.45">
      <c r="A23" s="64" t="s">
        <v>516</v>
      </c>
      <c r="B23" s="60" t="s">
        <v>3305</v>
      </c>
      <c r="C23" s="60" t="s">
        <v>3305</v>
      </c>
      <c r="D23" s="60" t="s">
        <v>3305</v>
      </c>
      <c r="E23" s="60" t="s">
        <v>3305</v>
      </c>
      <c r="F23" s="60" t="s">
        <v>3305</v>
      </c>
    </row>
    <row r="24" spans="1:6" x14ac:dyDescent="0.25">
      <c r="A24" s="64" t="s">
        <v>517</v>
      </c>
      <c r="B24" s="60" t="s">
        <v>3305</v>
      </c>
      <c r="C24" s="60" t="s">
        <v>3305</v>
      </c>
      <c r="D24" s="60" t="s">
        <v>3305</v>
      </c>
      <c r="E24" s="60" t="s">
        <v>3305</v>
      </c>
      <c r="F24" s="60" t="s">
        <v>3305</v>
      </c>
    </row>
    <row r="25" spans="1:6" ht="14.25" x14ac:dyDescent="0.45">
      <c r="A25" s="137" t="s">
        <v>518</v>
      </c>
      <c r="B25" s="60" t="s">
        <v>3305</v>
      </c>
      <c r="C25" s="60" t="s">
        <v>3305</v>
      </c>
      <c r="D25" s="60" t="s">
        <v>3305</v>
      </c>
      <c r="E25" s="60" t="s">
        <v>3305</v>
      </c>
      <c r="F25" s="60" t="s">
        <v>3305</v>
      </c>
    </row>
    <row r="26" spans="1:6" ht="14.25" x14ac:dyDescent="0.45">
      <c r="A26" s="138"/>
      <c r="B26" s="54"/>
      <c r="C26" s="54"/>
      <c r="D26" s="54"/>
      <c r="E26" s="54"/>
      <c r="F26" s="54"/>
    </row>
    <row r="27" spans="1:6" ht="14.25" x14ac:dyDescent="0.45">
      <c r="A27" s="136" t="s">
        <v>519</v>
      </c>
      <c r="B27" s="54"/>
      <c r="C27" s="54"/>
      <c r="D27" s="54"/>
      <c r="E27" s="54"/>
      <c r="F27" s="54"/>
    </row>
    <row r="28" spans="1:6" ht="14.25" x14ac:dyDescent="0.45">
      <c r="A28" s="137" t="s">
        <v>520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</row>
    <row r="29" spans="1:6" ht="14.25" x14ac:dyDescent="0.4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ht="14.25" x14ac:dyDescent="0.45">
      <c r="A31" s="137" t="s">
        <v>506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</row>
    <row r="32" spans="1:6" ht="14.25" x14ac:dyDescent="0.45">
      <c r="A32" s="137" t="s">
        <v>510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</row>
    <row r="33" spans="1:6" ht="14.25" x14ac:dyDescent="0.45">
      <c r="A33" s="137" t="s">
        <v>522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</row>
    <row r="34" spans="1:6" ht="14.25" x14ac:dyDescent="0.4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</row>
    <row r="37" spans="1:6" x14ac:dyDescent="0.25">
      <c r="A37" s="137" t="s">
        <v>525</v>
      </c>
      <c r="B37" s="60">
        <v>0</v>
      </c>
      <c r="C37" s="60">
        <v>0</v>
      </c>
      <c r="D37" s="60">
        <v>0</v>
      </c>
      <c r="E37" s="60">
        <v>0</v>
      </c>
      <c r="F37" s="60">
        <v>0</v>
      </c>
    </row>
    <row r="38" spans="1:6" ht="14.25" x14ac:dyDescent="0.45">
      <c r="A38" s="137" t="s">
        <v>526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</row>
    <row r="39" spans="1:6" ht="14.25" x14ac:dyDescent="0.45">
      <c r="A39" s="138"/>
      <c r="B39" s="54"/>
      <c r="C39" s="54"/>
      <c r="D39" s="54"/>
      <c r="E39" s="54"/>
      <c r="F39" s="54"/>
    </row>
    <row r="40" spans="1:6" ht="14.25" x14ac:dyDescent="0.45">
      <c r="A40" s="136" t="s">
        <v>527</v>
      </c>
      <c r="B40" s="60">
        <v>0</v>
      </c>
      <c r="C40" s="60">
        <v>0</v>
      </c>
      <c r="D40" s="60">
        <v>0</v>
      </c>
      <c r="E40" s="60">
        <v>0</v>
      </c>
      <c r="F40" s="60">
        <v>0</v>
      </c>
    </row>
    <row r="41" spans="1:6" ht="14.25" x14ac:dyDescent="0.45">
      <c r="A41" s="138"/>
      <c r="B41" s="54"/>
      <c r="C41" s="54"/>
      <c r="D41" s="54"/>
      <c r="E41" s="54"/>
      <c r="F41" s="54"/>
    </row>
    <row r="42" spans="1:6" ht="14.25" x14ac:dyDescent="0.45">
      <c r="A42" s="136" t="s">
        <v>528</v>
      </c>
      <c r="B42" s="54"/>
      <c r="C42" s="54"/>
      <c r="D42" s="54"/>
      <c r="E42" s="54"/>
      <c r="F42" s="54"/>
    </row>
    <row r="43" spans="1:6" ht="14.25" x14ac:dyDescent="0.45">
      <c r="A43" s="137" t="s">
        <v>529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6" x14ac:dyDescent="0.25">
      <c r="A44" s="137" t="s">
        <v>530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6" ht="14.25" x14ac:dyDescent="0.45">
      <c r="A45" s="137" t="s">
        <v>531</v>
      </c>
      <c r="B45" s="60">
        <v>0</v>
      </c>
      <c r="C45" s="60">
        <v>0</v>
      </c>
      <c r="D45" s="60">
        <v>0</v>
      </c>
      <c r="E45" s="60">
        <v>0</v>
      </c>
      <c r="F45" s="60">
        <v>0</v>
      </c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5">
        <v>0</v>
      </c>
      <c r="C48" s="145">
        <v>0</v>
      </c>
      <c r="D48" s="145">
        <v>0</v>
      </c>
      <c r="E48" s="145">
        <v>0</v>
      </c>
      <c r="F48" s="145">
        <v>0</v>
      </c>
    </row>
    <row r="49" spans="1:6" x14ac:dyDescent="0.25">
      <c r="A49" s="64" t="s">
        <v>531</v>
      </c>
      <c r="B49" s="145">
        <v>0</v>
      </c>
      <c r="C49" s="145">
        <v>0</v>
      </c>
      <c r="D49" s="145">
        <v>0</v>
      </c>
      <c r="E49" s="145">
        <v>0</v>
      </c>
      <c r="F49" s="145">
        <v>0</v>
      </c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</row>
    <row r="53" spans="1:6" x14ac:dyDescent="0.25">
      <c r="A53" s="137" t="s">
        <v>531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</row>
    <row r="54" spans="1:6" x14ac:dyDescent="0.25">
      <c r="A54" s="137" t="s">
        <v>534</v>
      </c>
      <c r="B54" s="60">
        <v>0</v>
      </c>
      <c r="C54" s="60">
        <v>0</v>
      </c>
      <c r="D54" s="60">
        <v>0</v>
      </c>
      <c r="E54" s="60">
        <v>0</v>
      </c>
      <c r="F54" s="60">
        <v>0</v>
      </c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</row>
    <row r="58" spans="1:6" x14ac:dyDescent="0.25">
      <c r="A58" s="137" t="s">
        <v>531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6">
        <v>0</v>
      </c>
      <c r="C62" s="146">
        <v>0</v>
      </c>
      <c r="D62" s="146">
        <v>0</v>
      </c>
      <c r="E62" s="146">
        <v>0</v>
      </c>
      <c r="F62" s="146">
        <v>0</v>
      </c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 t="s">
        <v>3306</v>
      </c>
      <c r="C66" s="60" t="s">
        <v>3306</v>
      </c>
      <c r="D66" s="60" t="s">
        <v>3306</v>
      </c>
      <c r="E66" s="60" t="s">
        <v>3306</v>
      </c>
      <c r="F66" s="60" t="s">
        <v>3306</v>
      </c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 t="str">
        <f>'Formato 8'!B6</f>
        <v>NO APLICA</v>
      </c>
      <c r="Q3" s="18" t="str">
        <f>'Formato 8'!C6</f>
        <v>NO APLICA</v>
      </c>
      <c r="R3" s="18" t="str">
        <f>'Formato 8'!D6</f>
        <v>NO APLICA</v>
      </c>
      <c r="S3" s="18" t="str">
        <f>'Formato 8'!E6</f>
        <v>NO APLICA</v>
      </c>
      <c r="T3" s="18" t="str">
        <f>'Formato 8'!F6</f>
        <v>NO APLICA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 t="str">
        <f>'Formato 8'!B7</f>
        <v>NO APLICA</v>
      </c>
      <c r="Q4" s="18" t="str">
        <f>'Formato 8'!C7</f>
        <v>NO APLICA</v>
      </c>
      <c r="R4" s="18" t="str">
        <f>'Formato 8'!D7</f>
        <v>NO APLICA</v>
      </c>
      <c r="S4" s="18" t="str">
        <f>'Formato 8'!E7</f>
        <v>NO APLICA</v>
      </c>
      <c r="T4" s="18" t="str">
        <f>'Formato 8'!F7</f>
        <v>NO APLICA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 t="str">
        <f>'Formato 8'!B10</f>
        <v>NO APLICA</v>
      </c>
      <c r="Q6" s="18" t="str">
        <f>'Formato 8'!C10</f>
        <v>NO APLICA</v>
      </c>
      <c r="R6" s="18" t="str">
        <f>'Formato 8'!D10</f>
        <v>NO APLICA</v>
      </c>
      <c r="S6" s="18" t="str">
        <f>'Formato 8'!E10</f>
        <v>NO APLICA</v>
      </c>
      <c r="T6" s="18" t="str">
        <f>'Formato 8'!F10</f>
        <v>NO APLICA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 t="str">
        <f>'Formato 8'!B14</f>
        <v>NO APLICA</v>
      </c>
      <c r="Q10" s="18" t="str">
        <f>'Formato 8'!C14</f>
        <v>NO APLICA</v>
      </c>
      <c r="R10" s="18" t="str">
        <f>'Formato 8'!D14</f>
        <v>NO APLICA</v>
      </c>
      <c r="S10" s="18" t="str">
        <f>'Formato 8'!E14</f>
        <v>NO APLICA</v>
      </c>
      <c r="T10" s="18" t="str">
        <f>'Formato 8'!F14</f>
        <v>NO APLICA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 t="str">
        <f>'Formato 8'!B18</f>
        <v>NO APLICA</v>
      </c>
      <c r="Q14" s="18" t="str">
        <f>'Formato 8'!C18</f>
        <v>NO APLICA</v>
      </c>
      <c r="R14" s="18" t="str">
        <f>'Formato 8'!D18</f>
        <v>NO APLICA</v>
      </c>
      <c r="S14" s="18" t="str">
        <f>'Formato 8'!E18</f>
        <v>NO APLICA</v>
      </c>
      <c r="T14" s="18" t="str">
        <f>'Formato 8'!F18</f>
        <v>NO APLICA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 t="str">
        <f>'Formato 8'!B19</f>
        <v>NO APLICA</v>
      </c>
      <c r="Q15" s="18" t="str">
        <f>'Formato 8'!C19</f>
        <v>NO APLICA</v>
      </c>
      <c r="R15" s="18" t="str">
        <f>'Formato 8'!D19</f>
        <v>NO APLICA</v>
      </c>
      <c r="S15" s="18" t="str">
        <f>'Formato 8'!E19</f>
        <v>NO APLICA</v>
      </c>
      <c r="T15" s="18" t="str">
        <f>'Formato 8'!F19</f>
        <v>NO APLICA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 t="str">
        <f>'Formato 8'!B20</f>
        <v>NO APLICA</v>
      </c>
      <c r="Q16" s="18" t="str">
        <f>'Formato 8'!C20</f>
        <v>NO APLICA</v>
      </c>
      <c r="R16" s="18" t="str">
        <f>'Formato 8'!D20</f>
        <v>NO APLICA</v>
      </c>
      <c r="S16" s="18" t="str">
        <f>'Formato 8'!E20</f>
        <v>NO APLICA</v>
      </c>
      <c r="T16" s="18" t="str">
        <f>'Formato 8'!F20</f>
        <v>NO APLICA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 t="str">
        <f>'Formato 8'!B21</f>
        <v>NO APLICA</v>
      </c>
      <c r="Q17" s="18" t="str">
        <f>'Formato 8'!C21</f>
        <v>NO APLICA</v>
      </c>
      <c r="R17" s="18" t="str">
        <f>'Formato 8'!D21</f>
        <v>NO APLICA</v>
      </c>
      <c r="S17" s="18" t="str">
        <f>'Formato 8'!E21</f>
        <v>NO APLICA</v>
      </c>
      <c r="T17" s="18" t="str">
        <f>'Formato 8'!F21</f>
        <v>NO APLICA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 t="str">
        <f>'Formato 8'!B22</f>
        <v>NO APLICA</v>
      </c>
      <c r="Q18" s="18" t="str">
        <f>'Formato 8'!C22</f>
        <v>NO APLICA</v>
      </c>
      <c r="R18" s="18" t="str">
        <f>'Formato 8'!D22</f>
        <v>NO APLICA</v>
      </c>
      <c r="S18" s="18" t="str">
        <f>'Formato 8'!E22</f>
        <v>NO APLICA</v>
      </c>
      <c r="T18" s="18" t="str">
        <f>'Formato 8'!F22</f>
        <v>NO APLICA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 t="str">
        <f>'Formato 8'!B23</f>
        <v>NO APLICA</v>
      </c>
      <c r="Q19" s="18" t="str">
        <f>'Formato 8'!C23</f>
        <v>NO APLICA</v>
      </c>
      <c r="R19" s="18" t="str">
        <f>'Formato 8'!D23</f>
        <v>NO APLICA</v>
      </c>
      <c r="S19" s="18" t="str">
        <f>'Formato 8'!E23</f>
        <v>NO APLICA</v>
      </c>
      <c r="T19" s="18" t="str">
        <f>'Formato 8'!F23</f>
        <v>NO APLICA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 t="str">
        <f>'Formato 8'!B24</f>
        <v>NO APLICA</v>
      </c>
      <c r="Q20" s="18" t="str">
        <f>'Formato 8'!C24</f>
        <v>NO APLICA</v>
      </c>
      <c r="R20" s="18" t="str">
        <f>'Formato 8'!D24</f>
        <v>NO APLICA</v>
      </c>
      <c r="S20" s="18" t="str">
        <f>'Formato 8'!E24</f>
        <v>NO APLICA</v>
      </c>
      <c r="T20" s="18" t="str">
        <f>'Formato 8'!F24</f>
        <v>NO APLICA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 t="str">
        <f>'Formato 8'!B25</f>
        <v>NO APLICA</v>
      </c>
      <c r="Q21" s="18" t="str">
        <f>'Formato 8'!C25</f>
        <v>NO APLICA</v>
      </c>
      <c r="R21" s="18" t="str">
        <f>'Formato 8'!D25</f>
        <v>NO APLICA</v>
      </c>
      <c r="S21" s="18" t="str">
        <f>'Formato 8'!E25</f>
        <v>NO APLICA</v>
      </c>
      <c r="T21" s="18" t="str">
        <f>'Formato 8'!F25</f>
        <v>NO APLICA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ht="14.25" x14ac:dyDescent="0.4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ht="14.25" x14ac:dyDescent="0.4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ht="14.25" x14ac:dyDescent="0.4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ht="14.25" x14ac:dyDescent="0.4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ht="14.25" x14ac:dyDescent="0.4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 t="str">
        <f>'Formato 8'!B66</f>
        <v>SIN INFORMACION QR</v>
      </c>
      <c r="Q52" s="18" t="str">
        <f>'Formato 8'!C66</f>
        <v>SIN INFORMACION QR</v>
      </c>
      <c r="R52" s="18" t="str">
        <f>'Formato 8'!D66</f>
        <v>SIN INFORMACION QR</v>
      </c>
      <c r="S52" s="18" t="str">
        <f>'Formato 8'!E66</f>
        <v>SIN INFORMACION QR</v>
      </c>
      <c r="T52" s="18" t="str">
        <f>'Formato 8'!F66</f>
        <v>SIN INFORMACION QR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17283"/>
  <sheetViews>
    <sheetView showGridLines="0" topLeftCell="A22" zoomScale="90" zoomScaleNormal="90" workbookViewId="0">
      <selection activeCell="E76" sqref="E76:F77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ht="14.25" x14ac:dyDescent="0.45">
      <c r="A2" s="153" t="str">
        <f>ENTE_PUBLICO_A</f>
        <v>Instituto Municipal de Vivienda de San Miguel de Allende, Gto.,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25" x14ac:dyDescent="0.45">
      <c r="A4" s="159" t="str">
        <f>PERIODO_INFORME</f>
        <v>Al 31 de diciembre de 2020 y al 30 de marzo de 2021 (b)</v>
      </c>
      <c r="B4" s="160"/>
      <c r="C4" s="160"/>
      <c r="D4" s="160"/>
      <c r="E4" s="160"/>
      <c r="F4" s="161"/>
    </row>
    <row r="5" spans="1:6" ht="14.25" x14ac:dyDescent="0.45">
      <c r="A5" s="162" t="s">
        <v>118</v>
      </c>
      <c r="B5" s="163"/>
      <c r="C5" s="163"/>
      <c r="D5" s="163"/>
      <c r="E5" s="163"/>
      <c r="F5" s="164"/>
    </row>
    <row r="6" spans="1:6" s="3" customFormat="1" ht="28.5" x14ac:dyDescent="0.45">
      <c r="A6" s="133" t="s">
        <v>3284</v>
      </c>
      <c r="B6" s="134" t="str">
        <f>ANIO</f>
        <v>2021 (d)</v>
      </c>
      <c r="C6" s="131" t="str">
        <f>ULTIMO</f>
        <v>31 de diciembre de 2020 (e)</v>
      </c>
      <c r="D6" s="135" t="s">
        <v>0</v>
      </c>
      <c r="E6" s="134" t="str">
        <f>ANIO</f>
        <v>2021 (d)</v>
      </c>
      <c r="F6" s="131" t="str">
        <f>ULTIMO</f>
        <v>31 de diciembre de 2020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7374193.5700000003</v>
      </c>
      <c r="C9" s="60">
        <f>SUM(C10:C16)</f>
        <v>7473905.2800000003</v>
      </c>
      <c r="D9" s="100" t="s">
        <v>54</v>
      </c>
      <c r="E9" s="60">
        <f>SUM(E10:E18)</f>
        <v>72139.22</v>
      </c>
      <c r="F9" s="60">
        <f>SUM(F10:F18)</f>
        <v>136153.01999999999</v>
      </c>
    </row>
    <row r="10" spans="1:6" x14ac:dyDescent="0.25">
      <c r="A10" s="96" t="s">
        <v>4</v>
      </c>
      <c r="B10" s="60">
        <v>0</v>
      </c>
      <c r="C10" s="60">
        <v>0</v>
      </c>
      <c r="D10" s="101" t="s">
        <v>55</v>
      </c>
      <c r="E10" s="60">
        <v>0</v>
      </c>
      <c r="F10" s="60">
        <v>0</v>
      </c>
    </row>
    <row r="11" spans="1:6" x14ac:dyDescent="0.25">
      <c r="A11" s="96" t="s">
        <v>5</v>
      </c>
      <c r="B11" s="60">
        <v>0</v>
      </c>
      <c r="C11" s="60">
        <v>0</v>
      </c>
      <c r="D11" s="101" t="s">
        <v>56</v>
      </c>
      <c r="E11" s="60">
        <v>15744.74</v>
      </c>
      <c r="F11" s="60">
        <v>14760.23</v>
      </c>
    </row>
    <row r="12" spans="1:6" x14ac:dyDescent="0.25">
      <c r="A12" s="96" t="s">
        <v>6</v>
      </c>
      <c r="B12" s="77">
        <v>7374193.5700000003</v>
      </c>
      <c r="C12" s="60">
        <v>7473905.2800000003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0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31768.22</v>
      </c>
      <c r="F16" s="60">
        <v>102058.11</v>
      </c>
    </row>
    <row r="17" spans="1:6" x14ac:dyDescent="0.25">
      <c r="A17" s="95" t="s">
        <v>11</v>
      </c>
      <c r="B17" s="60">
        <f>SUM(B18:B24)</f>
        <v>3821710.5999999996</v>
      </c>
      <c r="C17" s="60">
        <f>SUM(C18:C24)</f>
        <v>3942329.29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24626.26</v>
      </c>
      <c r="F18" s="60">
        <v>19334.68</v>
      </c>
    </row>
    <row r="19" spans="1:6" x14ac:dyDescent="0.25">
      <c r="A19" s="97" t="s">
        <v>13</v>
      </c>
      <c r="B19" s="60">
        <v>2320311.37</v>
      </c>
      <c r="C19" s="60">
        <v>2320311.7799999998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>
        <v>1759.07</v>
      </c>
      <c r="C20" s="60">
        <v>0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3500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1496140.16</v>
      </c>
      <c r="C24" s="60">
        <v>1622017.51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0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ht="14.25" x14ac:dyDescent="0.4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11195904.17</v>
      </c>
      <c r="C47" s="61">
        <f>C9+C17+C25+C31+C38+C41</f>
        <v>11416234.57</v>
      </c>
      <c r="D47" s="99" t="s">
        <v>91</v>
      </c>
      <c r="E47" s="61">
        <f>E9+E19+E23+E26+E27+E31+E38+E42</f>
        <v>72139.22</v>
      </c>
      <c r="F47" s="61">
        <f>F9+F19+F23+F26+F27+F31+F38+F42</f>
        <v>136153.01999999999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44000005.479999997</v>
      </c>
      <c r="C50" s="60">
        <v>44000005.479999997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1715854.76</v>
      </c>
      <c r="C51" s="60">
        <v>2084919.65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14865945.01</v>
      </c>
      <c r="C52" s="60">
        <v>14865945.01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1259780.3400000001</v>
      </c>
      <c r="C53" s="60">
        <v>1259780.3400000001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11427.16</v>
      </c>
      <c r="C54" s="60">
        <v>11427.16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-1415000.84</v>
      </c>
      <c r="C55" s="60">
        <v>-1415000.84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72139.22</v>
      </c>
      <c r="F59" s="61">
        <f>F47+F57</f>
        <v>136153.01999999999</v>
      </c>
    </row>
    <row r="60" spans="1:6" x14ac:dyDescent="0.25">
      <c r="A60" s="55" t="s">
        <v>50</v>
      </c>
      <c r="B60" s="61">
        <f>SUM(B50:B58)</f>
        <v>60438011.909999989</v>
      </c>
      <c r="C60" s="61">
        <f>SUM(C50:C58)</f>
        <v>60807076.79999999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71633916.079999983</v>
      </c>
      <c r="C62" s="61">
        <f>SUM(C47+C60)</f>
        <v>72223311.36999999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24913050.109999999</v>
      </c>
      <c r="F63" s="77">
        <f>SUM(F64:F66)</f>
        <v>25108137.870000001</v>
      </c>
    </row>
    <row r="64" spans="1:6" x14ac:dyDescent="0.25">
      <c r="A64" s="54"/>
      <c r="B64" s="54"/>
      <c r="C64" s="54"/>
      <c r="D64" s="103" t="s">
        <v>103</v>
      </c>
      <c r="E64" s="77">
        <v>0</v>
      </c>
      <c r="F64" s="77">
        <v>0</v>
      </c>
    </row>
    <row r="65" spans="1:6" x14ac:dyDescent="0.25">
      <c r="A65" s="54"/>
      <c r="B65" s="54"/>
      <c r="C65" s="54"/>
      <c r="D65" s="41" t="s">
        <v>104</v>
      </c>
      <c r="E65" s="77">
        <v>24913050.109999999</v>
      </c>
      <c r="F65" s="77">
        <v>25108137.870000001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46648726.75</v>
      </c>
      <c r="F68" s="77">
        <f>SUM(F69:F73)</f>
        <v>46979020.479999997</v>
      </c>
    </row>
    <row r="69" spans="1:6" x14ac:dyDescent="0.25">
      <c r="A69" s="12"/>
      <c r="B69" s="54"/>
      <c r="C69" s="54"/>
      <c r="D69" s="103" t="s">
        <v>107</v>
      </c>
      <c r="E69" s="77">
        <v>-330293.73</v>
      </c>
      <c r="F69" s="77">
        <v>-2351014.1</v>
      </c>
    </row>
    <row r="70" spans="1:6" x14ac:dyDescent="0.25">
      <c r="A70" s="12"/>
      <c r="B70" s="54"/>
      <c r="C70" s="54"/>
      <c r="D70" s="103" t="s">
        <v>108</v>
      </c>
      <c r="E70" s="77">
        <v>8625400.8300000001</v>
      </c>
      <c r="F70" s="77">
        <v>10976414.93</v>
      </c>
    </row>
    <row r="71" spans="1:6" x14ac:dyDescent="0.25">
      <c r="A71" s="12"/>
      <c r="B71" s="54"/>
      <c r="C71" s="54"/>
      <c r="D71" s="103" t="s">
        <v>109</v>
      </c>
      <c r="E71" s="77">
        <v>39656038.100000001</v>
      </c>
      <c r="F71" s="77">
        <v>39656038.100000001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-1302418.45</v>
      </c>
      <c r="F73" s="77">
        <v>-1302418.45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71561776.859999999</v>
      </c>
      <c r="F79" s="61">
        <f>F63+F68+F75</f>
        <v>72087158.349999994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71633916.079999998</v>
      </c>
      <c r="F81" s="61">
        <f>F59+F79</f>
        <v>72223311.36999999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7374193.5700000003</v>
      </c>
      <c r="Q4" s="18">
        <f>'Formato 1'!C9</f>
        <v>7473905.2800000003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7374193.5700000003</v>
      </c>
      <c r="Q7" s="18">
        <f>'Formato 1'!C12</f>
        <v>7473905.2800000003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3821710.5999999996</v>
      </c>
      <c r="Q12" s="18">
        <f>'Formato 1'!C17</f>
        <v>3942329.29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2320311.37</v>
      </c>
      <c r="Q14" s="18">
        <f>'Formato 1'!C19</f>
        <v>2320311.7799999998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1759.07</v>
      </c>
      <c r="Q15" s="18">
        <f>'Formato 1'!C20</f>
        <v>0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3500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1496140.16</v>
      </c>
      <c r="Q19" s="18">
        <f>'Formato 1'!C24</f>
        <v>1622017.51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ht="14.25" x14ac:dyDescent="0.4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ht="14.25" x14ac:dyDescent="0.4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ht="14.25" x14ac:dyDescent="0.4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11195904.17</v>
      </c>
      <c r="Q42" s="18">
        <f>'Formato 1'!C47</f>
        <v>11416234.57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44000005.479999997</v>
      </c>
      <c r="Q44">
        <f>'Formato 1'!C50</f>
        <v>44000005.479999997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1715854.76</v>
      </c>
      <c r="Q45">
        <f>'Formato 1'!C51</f>
        <v>2084919.65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14865945.01</v>
      </c>
      <c r="Q46">
        <f>'Formato 1'!C52</f>
        <v>14865945.01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1259780.3400000001</v>
      </c>
      <c r="Q47">
        <f>'Formato 1'!C53</f>
        <v>1259780.3400000001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11427.16</v>
      </c>
      <c r="Q48">
        <f>'Formato 1'!C54</f>
        <v>11427.16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-1415000.84</v>
      </c>
      <c r="Q49">
        <f>'Formato 1'!C55</f>
        <v>-1415000.84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60438011.909999989</v>
      </c>
      <c r="Q53">
        <f>'Formato 1'!C60</f>
        <v>60807076.79999999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71633916.079999983</v>
      </c>
      <c r="Q54">
        <f>'Formato 1'!C62</f>
        <v>72223311.36999999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72139.22</v>
      </c>
      <c r="Q57">
        <f>'Formato 1'!F9</f>
        <v>136153.01999999999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15744.74</v>
      </c>
      <c r="Q59">
        <f>'Formato 1'!F11</f>
        <v>14760.23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31768.22</v>
      </c>
      <c r="Q64">
        <f>'Formato 1'!F16</f>
        <v>102058.11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24626.26</v>
      </c>
      <c r="Q66">
        <f>'Formato 1'!F18</f>
        <v>19334.68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72139.22</v>
      </c>
      <c r="Q95">
        <f>'Formato 1'!F47</f>
        <v>136153.01999999999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72139.22</v>
      </c>
      <c r="Q104">
        <f>'Formato 1'!F59</f>
        <v>136153.01999999999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24913050.109999999</v>
      </c>
      <c r="Q106">
        <f>'Formato 1'!F63</f>
        <v>25108137.870000001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0</v>
      </c>
      <c r="Q107">
        <f>'Formato 1'!F64</f>
        <v>0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24913050.109999999</v>
      </c>
      <c r="Q108">
        <f>'Formato 1'!F65</f>
        <v>25108137.870000001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46648726.75</v>
      </c>
      <c r="Q110">
        <f>'Formato 1'!F68</f>
        <v>46979020.479999997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-330293.73</v>
      </c>
      <c r="Q111">
        <f>'Formato 1'!F69</f>
        <v>-2351014.1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8625400.8300000001</v>
      </c>
      <c r="Q112">
        <f>'Formato 1'!F70</f>
        <v>10976414.93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39656038.100000001</v>
      </c>
      <c r="Q113">
        <f>'Formato 1'!F71</f>
        <v>39656038.100000001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-1302418.45</v>
      </c>
      <c r="Q115">
        <f>'Formato 1'!F73</f>
        <v>-1302418.45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71561776.859999999</v>
      </c>
      <c r="Q119">
        <f>'Formato 1'!F79</f>
        <v>72087158.349999994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71633916.079999998</v>
      </c>
      <c r="Q120">
        <f>'Formato 1'!F81</f>
        <v>72223311.36999999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zoomScale="90" zoomScaleNormal="90" workbookViewId="0">
      <selection activeCell="B43" sqref="B43:F44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Instituto Municipal de Vivienda de San Miguel de Allende, Gto.,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2020 y al 30 de marzo de 2021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2020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ht="14.25" x14ac:dyDescent="0.4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ht="14.25" x14ac:dyDescent="0.4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136153.01999999999</v>
      </c>
      <c r="C18" s="132"/>
      <c r="D18" s="132"/>
      <c r="E18" s="132"/>
      <c r="F18" s="61">
        <v>72139.22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136153.01999999999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72139.22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ht="14.25" x14ac:dyDescent="0.4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ht="14.25" x14ac:dyDescent="0.4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ht="14.25" x14ac:dyDescent="0.4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ht="14.25" x14ac:dyDescent="0.4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45">
      <c r="A32" s="90"/>
    </row>
    <row r="33" spans="1:8" ht="12" customHeight="1" x14ac:dyDescent="0.25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ht="14.25" x14ac:dyDescent="0.4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136153.01999999999</v>
      </c>
      <c r="Q12" s="18"/>
      <c r="R12" s="18"/>
      <c r="S12" s="18"/>
      <c r="T12" s="18">
        <f>'Formato 2'!F18</f>
        <v>72139.22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136153.01999999999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72139.22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zoomScale="90" zoomScaleNormal="90" workbookViewId="0">
      <selection activeCell="B9" sqref="B9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Instituto Municipal de Vivienda de San Miguel de Allende, Gto.,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30 de marzo de 2021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marzo de 2021 (k)</v>
      </c>
      <c r="J6" s="131" t="str">
        <f>MONTO2</f>
        <v>Monto pagado de la inversión actualizado al 30 de marzo de 2021 (l)</v>
      </c>
      <c r="K6" s="131" t="str">
        <f>SALDO_PENDIENTE</f>
        <v>Saldo pendiente por pagar de la inversión al 30 de marzo de 2021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>
        <v>42755</v>
      </c>
      <c r="C9" s="112">
        <v>42755</v>
      </c>
      <c r="D9" s="112">
        <v>42755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 ht="14.25" x14ac:dyDescent="0.45">
      <c r="A10" s="114" t="s">
        <v>157</v>
      </c>
      <c r="B10" s="112">
        <v>42755</v>
      </c>
      <c r="C10" s="112">
        <v>42755</v>
      </c>
      <c r="D10" s="112">
        <v>42755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>
        <v>42755</v>
      </c>
      <c r="C11" s="112">
        <v>42755</v>
      </c>
      <c r="D11" s="112">
        <v>42755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f t="shared" si="0"/>
        <v>0</v>
      </c>
    </row>
    <row r="12" spans="1:12" s="24" customFormat="1" ht="14.25" x14ac:dyDescent="0.45">
      <c r="A12" s="114" t="s">
        <v>159</v>
      </c>
      <c r="B12" s="112">
        <v>42755</v>
      </c>
      <c r="C12" s="112">
        <v>42755</v>
      </c>
      <c r="D12" s="112">
        <v>42755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>
        <v>42755</v>
      </c>
      <c r="C15" s="112">
        <v>42755</v>
      </c>
      <c r="D15" s="112">
        <v>42755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 ht="14.25" x14ac:dyDescent="0.45">
      <c r="A16" s="114" t="s">
        <v>162</v>
      </c>
      <c r="B16" s="112">
        <v>42755</v>
      </c>
      <c r="C16" s="112">
        <v>42755</v>
      </c>
      <c r="D16" s="112">
        <v>42755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>
        <v>42755</v>
      </c>
      <c r="C17" s="112">
        <v>42755</v>
      </c>
      <c r="D17" s="112">
        <v>42755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f t="shared" si="1"/>
        <v>0</v>
      </c>
    </row>
    <row r="18" spans="1:11" s="24" customFormat="1" ht="14.25" x14ac:dyDescent="0.45">
      <c r="A18" s="114" t="s">
        <v>164</v>
      </c>
      <c r="B18" s="112">
        <v>42755</v>
      </c>
      <c r="C18" s="112">
        <v>42755</v>
      </c>
      <c r="D18" s="112">
        <v>42755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f t="shared" si="1"/>
        <v>0</v>
      </c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C.P. Lorena Salgado</cp:lastModifiedBy>
  <cp:lastPrinted>2017-02-04T00:56:20Z</cp:lastPrinted>
  <dcterms:created xsi:type="dcterms:W3CDTF">2017-01-19T17:59:06Z</dcterms:created>
  <dcterms:modified xsi:type="dcterms:W3CDTF">2021-04-21T16:17:52Z</dcterms:modified>
</cp:coreProperties>
</file>